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 codeName="{22E68647-3C60-695B-3CA0-4895CD717B8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Users\Brian.Steele\OneDrive\diyaudio\boxplan\beta\"/>
    </mc:Choice>
  </mc:AlternateContent>
  <xr:revisionPtr revIDLastSave="589" documentId="CE979A1852C07CA8530DC888736F9CFBB76B1A98" xr6:coauthVersionLast="40" xr6:coauthVersionMax="40" xr10:uidLastSave="{F670069B-FE55-4D12-B2C3-890B3F58EF42}"/>
  <bookViews>
    <workbookView xWindow="14970" yWindow="2235" windowWidth="18900" windowHeight="16080" xr2:uid="{00000000-000D-0000-FFFF-FFFF00000000}"/>
  </bookViews>
  <sheets>
    <sheet name="Cyclops TH" sheetId="6" r:id="rId1"/>
    <sheet name="Panels" sheetId="7" r:id="rId2"/>
    <sheet name="Path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6" l="1"/>
  <c r="D23" i="6"/>
  <c r="D22" i="6"/>
  <c r="Y156" i="8" l="1"/>
  <c r="Y159" i="8"/>
  <c r="Y165" i="8"/>
  <c r="A163" i="8"/>
  <c r="Y162" i="8"/>
  <c r="E15" i="8"/>
  <c r="E21" i="8" s="1"/>
  <c r="E18" i="8" l="1"/>
  <c r="E22" i="8"/>
  <c r="E17" i="8"/>
  <c r="E16" i="8"/>
  <c r="E20" i="8"/>
  <c r="D28" i="6" l="1"/>
  <c r="E49" i="6" l="1"/>
  <c r="E48" i="6"/>
  <c r="E46" i="6"/>
  <c r="E45" i="6"/>
  <c r="E44" i="6"/>
  <c r="E43" i="6"/>
  <c r="E42" i="6"/>
  <c r="E41" i="6"/>
  <c r="E40" i="6"/>
  <c r="E39" i="6"/>
  <c r="E38" i="6"/>
  <c r="A105" i="7" l="1"/>
  <c r="A111" i="7" s="1"/>
  <c r="A93" i="7"/>
  <c r="A81" i="7"/>
  <c r="A87" i="7" s="1"/>
  <c r="A69" i="7"/>
  <c r="A75" i="7" s="1"/>
  <c r="A57" i="7"/>
  <c r="A63" i="7" s="1"/>
  <c r="A51" i="7"/>
  <c r="A39" i="7"/>
  <c r="Y114" i="8" s="1"/>
  <c r="A33" i="7"/>
  <c r="A27" i="7"/>
  <c r="A21" i="7"/>
  <c r="A15" i="7"/>
  <c r="A9" i="7"/>
  <c r="B49" i="6"/>
  <c r="B48" i="6"/>
  <c r="B46" i="6"/>
  <c r="B45" i="6"/>
  <c r="B44" i="6"/>
  <c r="B43" i="6"/>
  <c r="B42" i="6"/>
  <c r="B41" i="6"/>
  <c r="B40" i="6"/>
  <c r="B39" i="6"/>
  <c r="B38" i="6"/>
  <c r="A45" i="7" l="1"/>
  <c r="Y115" i="8"/>
  <c r="Y145" i="8"/>
  <c r="Y157" i="8"/>
  <c r="Y166" i="8"/>
  <c r="Y136" i="8"/>
  <c r="Y148" i="8"/>
  <c r="Y133" i="8"/>
  <c r="Y160" i="8"/>
  <c r="Y129" i="8"/>
  <c r="Y163" i="8"/>
  <c r="Y147" i="8"/>
  <c r="Y144" i="8"/>
  <c r="A99" i="7"/>
  <c r="Y132" i="8"/>
  <c r="Y130" i="8"/>
  <c r="Y135" i="8"/>
  <c r="D55" i="6" l="1"/>
  <c r="D102" i="6" s="1"/>
  <c r="D79" i="6" l="1"/>
  <c r="D82" i="6" s="1"/>
  <c r="J82" i="6" s="1"/>
  <c r="D74" i="6"/>
  <c r="J74" i="6" s="1"/>
  <c r="J106" i="6"/>
  <c r="J105" i="6"/>
  <c r="J104" i="6"/>
  <c r="D103" i="6"/>
  <c r="J103" i="6" s="1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5" i="6"/>
  <c r="J81" i="6"/>
  <c r="J77" i="6"/>
  <c r="J73" i="6"/>
  <c r="J72" i="6"/>
  <c r="J71" i="6"/>
  <c r="J70" i="6"/>
  <c r="J69" i="6"/>
  <c r="Q26" i="8"/>
  <c r="R26" i="8" s="1"/>
  <c r="S26" i="8" s="1"/>
  <c r="G8" i="8"/>
  <c r="D16" i="6" s="1"/>
  <c r="D76" i="6" s="1"/>
  <c r="J76" i="6" s="1"/>
  <c r="A160" i="8"/>
  <c r="A157" i="8" s="1"/>
  <c r="A154" i="8" s="1"/>
  <c r="A151" i="8" s="1"/>
  <c r="A148" i="8" s="1"/>
  <c r="A145" i="8" s="1"/>
  <c r="A142" i="8" s="1"/>
  <c r="A139" i="8" s="1"/>
  <c r="A136" i="8" s="1"/>
  <c r="A133" i="8" s="1"/>
  <c r="A130" i="8" s="1"/>
  <c r="A127" i="8" s="1"/>
  <c r="A124" i="8" s="1"/>
  <c r="A121" i="8" s="1"/>
  <c r="A118" i="8" s="1"/>
  <c r="A115" i="8" s="1"/>
  <c r="J79" i="6" l="1"/>
  <c r="A112" i="8"/>
  <c r="A109" i="8" s="1"/>
  <c r="A106" i="8" s="1"/>
  <c r="A103" i="8" s="1"/>
  <c r="A100" i="8" s="1"/>
  <c r="A97" i="8" s="1"/>
  <c r="A94" i="8" s="1"/>
  <c r="A91" i="8" s="1"/>
  <c r="A88" i="8" s="1"/>
  <c r="A85" i="8" s="1"/>
  <c r="A82" i="8" s="1"/>
  <c r="A79" i="8" s="1"/>
  <c r="A76" i="8" s="1"/>
  <c r="A73" i="8" s="1"/>
  <c r="A70" i="8" s="1"/>
  <c r="A67" i="8" s="1"/>
  <c r="A64" i="8" s="1"/>
  <c r="A61" i="8" s="1"/>
  <c r="A58" i="8" s="1"/>
  <c r="A55" i="8" s="1"/>
  <c r="A52" i="8" s="1"/>
  <c r="A49" i="8" s="1"/>
  <c r="A46" i="8" s="1"/>
  <c r="A43" i="8" s="1"/>
  <c r="A40" i="8" s="1"/>
  <c r="A37" i="8" s="1"/>
  <c r="A34" i="8" s="1"/>
  <c r="A31" i="8" s="1"/>
  <c r="A28" i="8" s="1"/>
  <c r="D7" i="8"/>
  <c r="B31" i="8" l="1"/>
  <c r="B34" i="8" s="1"/>
  <c r="B37" i="8" s="1"/>
  <c r="B40" i="8" s="1"/>
  <c r="B43" i="8" s="1"/>
  <c r="B46" i="8" s="1"/>
  <c r="B49" i="8" s="1"/>
  <c r="B52" i="8" s="1"/>
  <c r="B55" i="8" s="1"/>
  <c r="B58" i="8" s="1"/>
  <c r="B61" i="8" s="1"/>
  <c r="B64" i="8" s="1"/>
  <c r="B67" i="8" s="1"/>
  <c r="B70" i="8" s="1"/>
  <c r="B73" i="8" s="1"/>
  <c r="B76" i="8" s="1"/>
  <c r="B79" i="8" s="1"/>
  <c r="B82" i="8" s="1"/>
  <c r="B85" i="8" s="1"/>
  <c r="B88" i="8" s="1"/>
  <c r="B91" i="8" s="1"/>
  <c r="B94" i="8" s="1"/>
  <c r="B97" i="8" s="1"/>
  <c r="B100" i="8" s="1"/>
  <c r="B103" i="8" l="1"/>
  <c r="B106" i="8" s="1"/>
  <c r="B109" i="8" s="1"/>
  <c r="B112" i="8" s="1"/>
  <c r="B115" i="8" s="1"/>
  <c r="B118" i="8" s="1"/>
  <c r="B121" i="8" s="1"/>
  <c r="B124" i="8" s="1"/>
  <c r="B127" i="8" s="1"/>
  <c r="B130" i="8" s="1"/>
  <c r="B133" i="8" s="1"/>
  <c r="B136" i="8" s="1"/>
  <c r="B139" i="8" s="1"/>
  <c r="B142" i="8" s="1"/>
  <c r="B145" i="8" s="1"/>
  <c r="B148" i="8" s="1"/>
  <c r="B151" i="8" s="1"/>
  <c r="B154" i="8" s="1"/>
  <c r="B157" i="8" s="1"/>
  <c r="B160" i="8" s="1"/>
  <c r="B163" i="8" s="1"/>
  <c r="B166" i="8" s="1"/>
  <c r="E133" i="7"/>
  <c r="E141" i="7" s="1"/>
  <c r="E143" i="7" l="1"/>
  <c r="E135" i="7"/>
  <c r="E144" i="7"/>
  <c r="E134" i="7"/>
  <c r="E136" i="7"/>
  <c r="E145" i="7"/>
  <c r="E142" i="7"/>
  <c r="E137" i="7"/>
  <c r="E146" i="7"/>
  <c r="E138" i="7"/>
  <c r="E148" i="7"/>
  <c r="E139" i="7"/>
  <c r="E149" i="7"/>
  <c r="C27" i="7"/>
  <c r="C31" i="7" s="1"/>
  <c r="C39" i="7" s="1"/>
  <c r="C40" i="7" s="1"/>
  <c r="D27" i="7"/>
  <c r="D39" i="7" s="1"/>
  <c r="G39" i="7" s="1"/>
  <c r="M31" i="8"/>
  <c r="M30" i="8"/>
  <c r="N29" i="8"/>
  <c r="N30" i="8" s="1"/>
  <c r="N31" i="8" s="1"/>
  <c r="D29" i="7"/>
  <c r="D120" i="7" s="1"/>
  <c r="G120" i="7" s="1"/>
  <c r="C28" i="7"/>
  <c r="F23" i="6"/>
  <c r="F21" i="6"/>
  <c r="F28" i="6"/>
  <c r="F16" i="6"/>
  <c r="F5" i="6"/>
  <c r="F6" i="6"/>
  <c r="F7" i="6"/>
  <c r="F8" i="6"/>
  <c r="F4" i="6"/>
  <c r="D25" i="6"/>
  <c r="F25" i="6" s="1"/>
  <c r="D51" i="6"/>
  <c r="D38" i="6" l="1"/>
  <c r="D49" i="6" s="1"/>
  <c r="K49" i="6" s="1"/>
  <c r="D32" i="6"/>
  <c r="O14" i="8" s="1"/>
  <c r="O167" i="8" s="1"/>
  <c r="C117" i="7"/>
  <c r="D118" i="7"/>
  <c r="D123" i="7"/>
  <c r="G123" i="7" s="1"/>
  <c r="F31" i="7"/>
  <c r="C21" i="7"/>
  <c r="C25" i="7" s="1"/>
  <c r="F25" i="7" s="1"/>
  <c r="D28" i="7"/>
  <c r="J29" i="7" s="1"/>
  <c r="D9" i="7"/>
  <c r="D15" i="7" s="1"/>
  <c r="D19" i="7" s="1"/>
  <c r="G19" i="7" s="1"/>
  <c r="C9" i="7"/>
  <c r="C34" i="7"/>
  <c r="F34" i="7" s="1"/>
  <c r="G27" i="7"/>
  <c r="F40" i="7"/>
  <c r="C41" i="7"/>
  <c r="Z114" i="8" s="1"/>
  <c r="C33" i="7"/>
  <c r="C15" i="7"/>
  <c r="F28" i="7"/>
  <c r="C29" i="7"/>
  <c r="C120" i="7" s="1"/>
  <c r="D33" i="7"/>
  <c r="D21" i="7"/>
  <c r="D78" i="8" s="1"/>
  <c r="G78" i="8" s="1"/>
  <c r="G29" i="7"/>
  <c r="D10" i="7"/>
  <c r="D35" i="7"/>
  <c r="I40" i="7"/>
  <c r="C42" i="7"/>
  <c r="AB114" i="8" s="1"/>
  <c r="F39" i="7"/>
  <c r="D30" i="7"/>
  <c r="D45" i="7"/>
  <c r="D40" i="7"/>
  <c r="F27" i="7"/>
  <c r="C30" i="7"/>
  <c r="D31" i="7"/>
  <c r="G31" i="7" s="1"/>
  <c r="D31" i="6"/>
  <c r="H31" i="6" s="1"/>
  <c r="I28" i="7"/>
  <c r="F22" i="6"/>
  <c r="G118" i="7" l="1"/>
  <c r="AC165" i="8"/>
  <c r="AC159" i="8"/>
  <c r="AA162" i="8"/>
  <c r="AC162" i="8" s="1"/>
  <c r="AC156" i="8"/>
  <c r="C118" i="7"/>
  <c r="Z156" i="8"/>
  <c r="Z165" i="8"/>
  <c r="Z159" i="8"/>
  <c r="O137" i="8"/>
  <c r="O134" i="8"/>
  <c r="O131" i="8"/>
  <c r="O128" i="8"/>
  <c r="O125" i="8"/>
  <c r="O161" i="8"/>
  <c r="O146" i="8"/>
  <c r="O143" i="8"/>
  <c r="O158" i="8"/>
  <c r="O140" i="8"/>
  <c r="O155" i="8"/>
  <c r="O152" i="8"/>
  <c r="O149" i="8"/>
  <c r="O122" i="8"/>
  <c r="O119" i="8"/>
  <c r="D39" i="6"/>
  <c r="D48" i="6" s="1"/>
  <c r="K48" i="6" s="1"/>
  <c r="O26" i="8"/>
  <c r="O89" i="8"/>
  <c r="O29" i="8"/>
  <c r="F11" i="8"/>
  <c r="O74" i="8"/>
  <c r="O32" i="8"/>
  <c r="O77" i="8"/>
  <c r="O59" i="8"/>
  <c r="O98" i="8"/>
  <c r="F8" i="8"/>
  <c r="O113" i="8"/>
  <c r="O35" i="8"/>
  <c r="O65" i="8"/>
  <c r="O95" i="8"/>
  <c r="O50" i="8"/>
  <c r="O41" i="8"/>
  <c r="O68" i="8"/>
  <c r="O38" i="8"/>
  <c r="O83" i="8"/>
  <c r="O53" i="8"/>
  <c r="O71" i="8"/>
  <c r="O44" i="8"/>
  <c r="O62" i="8"/>
  <c r="F9" i="8"/>
  <c r="O164" i="8"/>
  <c r="O104" i="8"/>
  <c r="O92" i="8"/>
  <c r="O116" i="8"/>
  <c r="O107" i="8"/>
  <c r="O110" i="8"/>
  <c r="O56" i="8"/>
  <c r="F10" i="8"/>
  <c r="F7" i="8"/>
  <c r="O86" i="8"/>
  <c r="O80" i="8"/>
  <c r="O101" i="8"/>
  <c r="O47" i="8"/>
  <c r="F117" i="7"/>
  <c r="F21" i="7"/>
  <c r="J10" i="7"/>
  <c r="F120" i="7"/>
  <c r="C121" i="7"/>
  <c r="C123" i="7"/>
  <c r="F123" i="7" s="1"/>
  <c r="C13" i="7"/>
  <c r="F13" i="7" s="1"/>
  <c r="C51" i="7"/>
  <c r="C90" i="8" s="1"/>
  <c r="C22" i="7"/>
  <c r="I22" i="7" s="1"/>
  <c r="J28" i="7"/>
  <c r="K28" i="7" s="1"/>
  <c r="D40" i="6" s="1"/>
  <c r="H41" i="6" s="1"/>
  <c r="F9" i="7"/>
  <c r="G28" i="7"/>
  <c r="G9" i="7"/>
  <c r="D13" i="7"/>
  <c r="G13" i="7" s="1"/>
  <c r="C35" i="7"/>
  <c r="I35" i="7" s="1"/>
  <c r="I41" i="7"/>
  <c r="D18" i="7"/>
  <c r="G18" i="7" s="1"/>
  <c r="G15" i="7"/>
  <c r="D12" i="7"/>
  <c r="G12" i="7" s="1"/>
  <c r="D81" i="8"/>
  <c r="D162" i="8"/>
  <c r="C96" i="8"/>
  <c r="C10" i="7"/>
  <c r="G35" i="7"/>
  <c r="D16" i="7"/>
  <c r="D36" i="7"/>
  <c r="C45" i="7"/>
  <c r="I30" i="7"/>
  <c r="F29" i="7"/>
  <c r="C37" i="7"/>
  <c r="F37" i="7" s="1"/>
  <c r="I34" i="7"/>
  <c r="C36" i="7"/>
  <c r="F33" i="7"/>
  <c r="I31" i="7"/>
  <c r="F30" i="7"/>
  <c r="G10" i="7"/>
  <c r="D11" i="7"/>
  <c r="J11" i="7" s="1"/>
  <c r="G40" i="7"/>
  <c r="D43" i="7"/>
  <c r="G43" i="7" s="1"/>
  <c r="D41" i="7"/>
  <c r="AA114" i="8" s="1"/>
  <c r="J31" i="7"/>
  <c r="G30" i="7"/>
  <c r="J40" i="7"/>
  <c r="K40" i="7" s="1"/>
  <c r="J30" i="7"/>
  <c r="D46" i="7"/>
  <c r="J46" i="7" s="1"/>
  <c r="D49" i="7"/>
  <c r="G49" i="7" s="1"/>
  <c r="G45" i="7"/>
  <c r="C43" i="7"/>
  <c r="F43" i="7" s="1"/>
  <c r="F42" i="7"/>
  <c r="D22" i="7"/>
  <c r="D27" i="8" s="1"/>
  <c r="G27" i="8" s="1"/>
  <c r="G21" i="7"/>
  <c r="D24" i="7"/>
  <c r="I42" i="7"/>
  <c r="F41" i="7"/>
  <c r="D34" i="7"/>
  <c r="J34" i="7" s="1"/>
  <c r="D37" i="7"/>
  <c r="G37" i="7" s="1"/>
  <c r="G33" i="7"/>
  <c r="I29" i="7"/>
  <c r="K29" i="7" s="1"/>
  <c r="H40" i="6" s="1"/>
  <c r="C19" i="7"/>
  <c r="F19" i="7" s="1"/>
  <c r="F15" i="7"/>
  <c r="C16" i="7"/>
  <c r="I16" i="7" s="1"/>
  <c r="C105" i="8" l="1"/>
  <c r="C102" i="8"/>
  <c r="AB165" i="8"/>
  <c r="AD165" i="8" s="1"/>
  <c r="AB159" i="8"/>
  <c r="AD159" i="8" s="1"/>
  <c r="Z162" i="8"/>
  <c r="AB162" i="8" s="1"/>
  <c r="AD162" i="8" s="1"/>
  <c r="AE162" i="8" s="1"/>
  <c r="AB156" i="8"/>
  <c r="AD156" i="8" s="1"/>
  <c r="C162" i="8"/>
  <c r="F118" i="7"/>
  <c r="D43" i="6"/>
  <c r="K43" i="6" s="1"/>
  <c r="D41" i="6"/>
  <c r="K41" i="6" s="1"/>
  <c r="D44" i="6"/>
  <c r="K44" i="6" s="1"/>
  <c r="D45" i="6"/>
  <c r="K45" i="6" s="1"/>
  <c r="D42" i="6"/>
  <c r="K42" i="6" s="1"/>
  <c r="K39" i="6"/>
  <c r="D46" i="6"/>
  <c r="G81" i="8"/>
  <c r="D87" i="8"/>
  <c r="G87" i="8" s="1"/>
  <c r="F96" i="8"/>
  <c r="G162" i="8"/>
  <c r="J41" i="7"/>
  <c r="K41" i="7" s="1"/>
  <c r="C91" i="8"/>
  <c r="C93" i="8" s="1"/>
  <c r="F90" i="8"/>
  <c r="D124" i="7"/>
  <c r="G124" i="7" s="1"/>
  <c r="F121" i="7"/>
  <c r="C52" i="7"/>
  <c r="C103" i="8" s="1"/>
  <c r="F51" i="7"/>
  <c r="F22" i="7"/>
  <c r="C57" i="7"/>
  <c r="F57" i="7" s="1"/>
  <c r="C55" i="7"/>
  <c r="F55" i="7" s="1"/>
  <c r="C105" i="7"/>
  <c r="C106" i="7" s="1"/>
  <c r="C27" i="8"/>
  <c r="C23" i="7"/>
  <c r="C111" i="7" s="1"/>
  <c r="F35" i="7"/>
  <c r="I36" i="7"/>
  <c r="J22" i="7"/>
  <c r="K22" i="7" s="1"/>
  <c r="J19" i="7"/>
  <c r="J13" i="7"/>
  <c r="D84" i="8"/>
  <c r="G84" i="8" s="1"/>
  <c r="D33" i="8"/>
  <c r="F10" i="7"/>
  <c r="C11" i="7"/>
  <c r="I10" i="7"/>
  <c r="K10" i="7" s="1"/>
  <c r="H38" i="6" s="1"/>
  <c r="K38" i="6" s="1"/>
  <c r="C99" i="8"/>
  <c r="J35" i="7"/>
  <c r="K35" i="7" s="1"/>
  <c r="G34" i="7"/>
  <c r="K30" i="7"/>
  <c r="J37" i="7"/>
  <c r="G36" i="7"/>
  <c r="I43" i="7"/>
  <c r="C49" i="7"/>
  <c r="F49" i="7" s="1"/>
  <c r="C48" i="7"/>
  <c r="F45" i="7"/>
  <c r="C46" i="7"/>
  <c r="G16" i="7"/>
  <c r="D17" i="7"/>
  <c r="J17" i="7" s="1"/>
  <c r="J16" i="7"/>
  <c r="K16" i="7" s="1"/>
  <c r="F16" i="7"/>
  <c r="C17" i="7"/>
  <c r="I17" i="7" s="1"/>
  <c r="G11" i="7"/>
  <c r="J12" i="7"/>
  <c r="K31" i="7"/>
  <c r="G24" i="7"/>
  <c r="D25" i="7"/>
  <c r="G25" i="7" s="1"/>
  <c r="G41" i="7"/>
  <c r="D42" i="7"/>
  <c r="J36" i="7"/>
  <c r="I37" i="7"/>
  <c r="F36" i="7"/>
  <c r="D51" i="7"/>
  <c r="D105" i="7"/>
  <c r="D28" i="8" s="1"/>
  <c r="G22" i="7"/>
  <c r="D23" i="7"/>
  <c r="J23" i="7" s="1"/>
  <c r="G46" i="7"/>
  <c r="D47" i="7"/>
  <c r="K34" i="7"/>
  <c r="K40" i="6"/>
  <c r="D82" i="7" l="1"/>
  <c r="D111" i="8"/>
  <c r="D114" i="8" s="1"/>
  <c r="D118" i="8" s="1"/>
  <c r="G118" i="8" s="1"/>
  <c r="AC114" i="8"/>
  <c r="AD114" i="8" s="1"/>
  <c r="Z144" i="8"/>
  <c r="Z147" i="8"/>
  <c r="AF160" i="8"/>
  <c r="C160" i="8" s="1"/>
  <c r="AF166" i="8"/>
  <c r="C166" i="8" s="1"/>
  <c r="F166" i="8" s="1"/>
  <c r="F99" i="8"/>
  <c r="F93" i="8"/>
  <c r="F27" i="8"/>
  <c r="J47" i="7"/>
  <c r="C94" i="8"/>
  <c r="F94" i="8" s="1"/>
  <c r="D30" i="8"/>
  <c r="G30" i="8" s="1"/>
  <c r="G33" i="8"/>
  <c r="I27" i="8"/>
  <c r="K27" i="8" s="1"/>
  <c r="K28" i="8" s="1"/>
  <c r="K29" i="8" s="1"/>
  <c r="G28" i="8"/>
  <c r="C61" i="7"/>
  <c r="F61" i="7" s="1"/>
  <c r="H90" i="8"/>
  <c r="J90" i="8" s="1"/>
  <c r="J91" i="8" s="1"/>
  <c r="J92" i="8" s="1"/>
  <c r="F91" i="8"/>
  <c r="I52" i="7"/>
  <c r="C128" i="7"/>
  <c r="F23" i="7"/>
  <c r="C53" i="7"/>
  <c r="C81" i="7" s="1"/>
  <c r="C87" i="7" s="1"/>
  <c r="F52" i="7"/>
  <c r="C58" i="7"/>
  <c r="F58" i="7" s="1"/>
  <c r="F105" i="7"/>
  <c r="C24" i="7"/>
  <c r="I24" i="7" s="1"/>
  <c r="C109" i="7"/>
  <c r="F109" i="7" s="1"/>
  <c r="K36" i="7"/>
  <c r="I23" i="7"/>
  <c r="K23" i="7" s="1"/>
  <c r="I106" i="7"/>
  <c r="C33" i="8"/>
  <c r="F106" i="7"/>
  <c r="C107" i="7"/>
  <c r="I107" i="7" s="1"/>
  <c r="C28" i="8"/>
  <c r="Q29" i="8" s="1"/>
  <c r="C108" i="7"/>
  <c r="I109" i="7" s="1"/>
  <c r="J42" i="7"/>
  <c r="K42" i="7" s="1"/>
  <c r="K37" i="7"/>
  <c r="K17" i="7"/>
  <c r="D34" i="8"/>
  <c r="I11" i="7"/>
  <c r="K11" i="7" s="1"/>
  <c r="F11" i="7"/>
  <c r="C12" i="7"/>
  <c r="I12" i="7" s="1"/>
  <c r="K12" i="7" s="1"/>
  <c r="F111" i="7"/>
  <c r="C112" i="7"/>
  <c r="I112" i="7" s="1"/>
  <c r="C115" i="7"/>
  <c r="F115" i="7" s="1"/>
  <c r="C114" i="7"/>
  <c r="D90" i="8"/>
  <c r="G90" i="8" s="1"/>
  <c r="F46" i="7"/>
  <c r="C47" i="7"/>
  <c r="I49" i="7"/>
  <c r="F48" i="7"/>
  <c r="D109" i="7"/>
  <c r="G109" i="7" s="1"/>
  <c r="D106" i="7"/>
  <c r="L4" i="8" s="1"/>
  <c r="G105" i="7"/>
  <c r="J25" i="7"/>
  <c r="I46" i="7"/>
  <c r="K46" i="7" s="1"/>
  <c r="J24" i="7"/>
  <c r="D111" i="7"/>
  <c r="G23" i="7"/>
  <c r="D57" i="7"/>
  <c r="D52" i="7"/>
  <c r="D103" i="8" s="1"/>
  <c r="D102" i="8" s="1"/>
  <c r="D55" i="7"/>
  <c r="G55" i="7" s="1"/>
  <c r="G51" i="7"/>
  <c r="G47" i="7"/>
  <c r="D48" i="7"/>
  <c r="J48" i="7" s="1"/>
  <c r="J43" i="7"/>
  <c r="K43" i="7" s="1"/>
  <c r="G42" i="7"/>
  <c r="F17" i="7"/>
  <c r="C18" i="7"/>
  <c r="J18" i="7"/>
  <c r="G17" i="7"/>
  <c r="G111" i="8" l="1"/>
  <c r="AA147" i="8"/>
  <c r="AA144" i="8"/>
  <c r="AB147" i="8"/>
  <c r="AB144" i="8"/>
  <c r="AE114" i="8"/>
  <c r="I47" i="7"/>
  <c r="K47" i="7" s="1"/>
  <c r="D121" i="8"/>
  <c r="H93" i="8"/>
  <c r="J93" i="8" s="1"/>
  <c r="J94" i="8" s="1"/>
  <c r="J95" i="8" s="1"/>
  <c r="C97" i="8"/>
  <c r="H96" i="8" s="1"/>
  <c r="C54" i="7"/>
  <c r="I55" i="7" s="1"/>
  <c r="F81" i="7"/>
  <c r="G114" i="8"/>
  <c r="I33" i="8"/>
  <c r="K33" i="8" s="1"/>
  <c r="K34" i="8" s="1"/>
  <c r="K35" i="8" s="1"/>
  <c r="G34" i="8"/>
  <c r="R29" i="8"/>
  <c r="S29" i="8" s="1"/>
  <c r="F28" i="8"/>
  <c r="C30" i="8"/>
  <c r="F33" i="8"/>
  <c r="F53" i="7"/>
  <c r="I53" i="7"/>
  <c r="C135" i="7"/>
  <c r="F135" i="7" s="1"/>
  <c r="C129" i="7"/>
  <c r="E129" i="7" s="1"/>
  <c r="D128" i="7"/>
  <c r="D117" i="7"/>
  <c r="F24" i="7"/>
  <c r="F107" i="7"/>
  <c r="I25" i="7"/>
  <c r="K25" i="7" s="1"/>
  <c r="K24" i="7"/>
  <c r="C59" i="7"/>
  <c r="F59" i="7" s="1"/>
  <c r="I58" i="7"/>
  <c r="D121" i="7"/>
  <c r="I108" i="7"/>
  <c r="C34" i="8"/>
  <c r="Q35" i="8" s="1"/>
  <c r="Q36" i="8" s="1"/>
  <c r="Q37" i="8" s="1"/>
  <c r="H27" i="8"/>
  <c r="J27" i="8" s="1"/>
  <c r="J28" i="8" s="1"/>
  <c r="J29" i="8" s="1"/>
  <c r="F108" i="7"/>
  <c r="C66" i="8"/>
  <c r="L2" i="8"/>
  <c r="L3" i="8"/>
  <c r="J52" i="7"/>
  <c r="K52" i="7" s="1"/>
  <c r="J106" i="7"/>
  <c r="K106" i="7" s="1"/>
  <c r="D31" i="8"/>
  <c r="G31" i="8" s="1"/>
  <c r="I115" i="7"/>
  <c r="F114" i="7"/>
  <c r="F112" i="7"/>
  <c r="C113" i="7"/>
  <c r="D37" i="8"/>
  <c r="G37" i="8" s="1"/>
  <c r="D93" i="8"/>
  <c r="G93" i="8" s="1"/>
  <c r="I13" i="7"/>
  <c r="K13" i="7" s="1"/>
  <c r="F12" i="7"/>
  <c r="D58" i="7"/>
  <c r="D61" i="7"/>
  <c r="G61" i="7" s="1"/>
  <c r="D60" i="7"/>
  <c r="G57" i="7"/>
  <c r="I19" i="7"/>
  <c r="K19" i="7" s="1"/>
  <c r="F18" i="7"/>
  <c r="D115" i="7"/>
  <c r="G115" i="7" s="1"/>
  <c r="D112" i="7"/>
  <c r="J112" i="7" s="1"/>
  <c r="K112" i="7" s="1"/>
  <c r="G111" i="7"/>
  <c r="I18" i="7"/>
  <c r="K18" i="7" s="1"/>
  <c r="G52" i="7"/>
  <c r="D53" i="7"/>
  <c r="J49" i="7"/>
  <c r="K49" i="7" s="1"/>
  <c r="G48" i="7"/>
  <c r="D107" i="7"/>
  <c r="G106" i="7"/>
  <c r="I48" i="7"/>
  <c r="K48" i="7" s="1"/>
  <c r="F47" i="7"/>
  <c r="AC144" i="8" l="1"/>
  <c r="AD144" i="8" s="1"/>
  <c r="AE144" i="8" s="1"/>
  <c r="AC147" i="8"/>
  <c r="AD147" i="8" s="1"/>
  <c r="AE147" i="8" s="1"/>
  <c r="G117" i="7"/>
  <c r="AA156" i="8"/>
  <c r="AE156" i="8" s="1"/>
  <c r="AF157" i="8" s="1"/>
  <c r="C156" i="8" s="1"/>
  <c r="F156" i="8" s="1"/>
  <c r="AA165" i="8"/>
  <c r="AE165" i="8" s="1"/>
  <c r="AA159" i="8"/>
  <c r="AE159" i="8" s="1"/>
  <c r="G121" i="8"/>
  <c r="D124" i="8"/>
  <c r="G124" i="8" s="1"/>
  <c r="I54" i="7"/>
  <c r="F54" i="7"/>
  <c r="C63" i="7"/>
  <c r="C64" i="7" s="1"/>
  <c r="I64" i="7" s="1"/>
  <c r="F30" i="8"/>
  <c r="F66" i="8"/>
  <c r="F97" i="8"/>
  <c r="C100" i="8"/>
  <c r="D129" i="7"/>
  <c r="F129" i="7" s="1"/>
  <c r="D81" i="7"/>
  <c r="G81" i="7" s="1"/>
  <c r="C82" i="7"/>
  <c r="C85" i="7"/>
  <c r="F85" i="7" s="1"/>
  <c r="Q30" i="8"/>
  <c r="H33" i="8"/>
  <c r="J33" i="8" s="1"/>
  <c r="J34" i="8" s="1"/>
  <c r="J35" i="8" s="1"/>
  <c r="F34" i="8"/>
  <c r="R36" i="8"/>
  <c r="S36" i="8" s="1"/>
  <c r="C37" i="8"/>
  <c r="F37" i="8" s="1"/>
  <c r="I59" i="7"/>
  <c r="C69" i="7"/>
  <c r="F69" i="7" s="1"/>
  <c r="C60" i="7"/>
  <c r="C36" i="8" s="1"/>
  <c r="C124" i="7"/>
  <c r="F124" i="7" s="1"/>
  <c r="G121" i="7"/>
  <c r="I30" i="8"/>
  <c r="K30" i="8" s="1"/>
  <c r="K31" i="8" s="1"/>
  <c r="K32" i="8" s="1"/>
  <c r="C69" i="8"/>
  <c r="C31" i="8"/>
  <c r="F31" i="8" s="1"/>
  <c r="D40" i="8"/>
  <c r="G40" i="8" s="1"/>
  <c r="I114" i="7"/>
  <c r="I113" i="7"/>
  <c r="F113" i="7"/>
  <c r="D39" i="8"/>
  <c r="G39" i="8" s="1"/>
  <c r="D36" i="8"/>
  <c r="G36" i="8" s="1"/>
  <c r="J107" i="7"/>
  <c r="K107" i="7" s="1"/>
  <c r="D45" i="8"/>
  <c r="G45" i="8" s="1"/>
  <c r="J96" i="8"/>
  <c r="J97" i="8" s="1"/>
  <c r="J98" i="8" s="1"/>
  <c r="G112" i="7"/>
  <c r="D113" i="7"/>
  <c r="G58" i="7"/>
  <c r="D59" i="7"/>
  <c r="G107" i="7"/>
  <c r="D108" i="7"/>
  <c r="J108" i="7" s="1"/>
  <c r="K108" i="7" s="1"/>
  <c r="G53" i="7"/>
  <c r="D54" i="7"/>
  <c r="J58" i="7"/>
  <c r="K58" i="7" s="1"/>
  <c r="D63" i="7"/>
  <c r="J61" i="7"/>
  <c r="G60" i="7"/>
  <c r="J53" i="7"/>
  <c r="K53" i="7" s="1"/>
  <c r="F87" i="7" l="1"/>
  <c r="Z132" i="8"/>
  <c r="Z135" i="8"/>
  <c r="I82" i="7"/>
  <c r="F82" i="7"/>
  <c r="F63" i="7"/>
  <c r="C67" i="7"/>
  <c r="F67" i="7" s="1"/>
  <c r="F60" i="7"/>
  <c r="R30" i="8"/>
  <c r="S30" i="8" s="1"/>
  <c r="H99" i="8"/>
  <c r="J99" i="8" s="1"/>
  <c r="J100" i="8" s="1"/>
  <c r="J101" i="8" s="1"/>
  <c r="Q38" i="8"/>
  <c r="Q39" i="8" s="1"/>
  <c r="Q40" i="8" s="1"/>
  <c r="Q32" i="8"/>
  <c r="F100" i="8"/>
  <c r="F69" i="8"/>
  <c r="F36" i="8"/>
  <c r="D87" i="7"/>
  <c r="D85" i="7"/>
  <c r="G85" i="7" s="1"/>
  <c r="D84" i="7"/>
  <c r="G84" i="7" s="1"/>
  <c r="C83" i="7"/>
  <c r="C91" i="7"/>
  <c r="F91" i="7" s="1"/>
  <c r="C88" i="7"/>
  <c r="Q31" i="8"/>
  <c r="R31" i="8" s="1"/>
  <c r="C40" i="8"/>
  <c r="R35" i="8"/>
  <c r="S35" i="8" s="1"/>
  <c r="R37" i="8"/>
  <c r="S37" i="8" s="1"/>
  <c r="C72" i="7"/>
  <c r="F72" i="7" s="1"/>
  <c r="C73" i="7"/>
  <c r="F73" i="7" s="1"/>
  <c r="H129" i="7"/>
  <c r="G129" i="7"/>
  <c r="I61" i="7"/>
  <c r="K61" i="7" s="1"/>
  <c r="C39" i="8"/>
  <c r="C70" i="7"/>
  <c r="I70" i="7" s="1"/>
  <c r="I60" i="7"/>
  <c r="H30" i="8"/>
  <c r="J30" i="8" s="1"/>
  <c r="J31" i="8" s="1"/>
  <c r="J32" i="8" s="1"/>
  <c r="C72" i="8"/>
  <c r="D43" i="8"/>
  <c r="G43" i="8" s="1"/>
  <c r="D42" i="8"/>
  <c r="G42" i="8" s="1"/>
  <c r="I36" i="8"/>
  <c r="K36" i="8" s="1"/>
  <c r="K37" i="8" s="1"/>
  <c r="K38" i="8" s="1"/>
  <c r="D46" i="8"/>
  <c r="I39" i="8"/>
  <c r="K39" i="8" s="1"/>
  <c r="K40" i="8" s="1"/>
  <c r="K41" i="8" s="1"/>
  <c r="H36" i="8"/>
  <c r="J109" i="7"/>
  <c r="K109" i="7" s="1"/>
  <c r="G108" i="7"/>
  <c r="J55" i="7"/>
  <c r="K55" i="7" s="1"/>
  <c r="G54" i="7"/>
  <c r="D64" i="7"/>
  <c r="J64" i="7" s="1"/>
  <c r="K64" i="7" s="1"/>
  <c r="D67" i="7"/>
  <c r="G67" i="7" s="1"/>
  <c r="D66" i="7"/>
  <c r="G63" i="7"/>
  <c r="J54" i="7"/>
  <c r="K54" i="7" s="1"/>
  <c r="D69" i="7"/>
  <c r="J60" i="7"/>
  <c r="G59" i="7"/>
  <c r="G113" i="7"/>
  <c r="D114" i="7"/>
  <c r="J114" i="7" s="1"/>
  <c r="K114" i="7" s="1"/>
  <c r="J113" i="7"/>
  <c r="K113" i="7" s="1"/>
  <c r="J59" i="7"/>
  <c r="K59" i="7" s="1"/>
  <c r="F64" i="7"/>
  <c r="C65" i="7"/>
  <c r="I65" i="7" s="1"/>
  <c r="AB135" i="8" l="1"/>
  <c r="AD135" i="8" s="1"/>
  <c r="Z130" i="8"/>
  <c r="AB130" i="8" s="1"/>
  <c r="AB132" i="8"/>
  <c r="AD132" i="8" s="1"/>
  <c r="G87" i="7"/>
  <c r="AA135" i="8"/>
  <c r="AA132" i="8"/>
  <c r="I88" i="7"/>
  <c r="F88" i="7"/>
  <c r="I83" i="7"/>
  <c r="F83" i="7"/>
  <c r="J82" i="7"/>
  <c r="K82" i="7" s="1"/>
  <c r="G82" i="7"/>
  <c r="F160" i="8"/>
  <c r="Q33" i="8"/>
  <c r="Q34" i="8" s="1"/>
  <c r="R34" i="8" s="1"/>
  <c r="S34" i="8" s="1"/>
  <c r="H7" i="8"/>
  <c r="F11" i="6"/>
  <c r="F40" i="8"/>
  <c r="Q41" i="8"/>
  <c r="Q42" i="8" s="1"/>
  <c r="Q43" i="8" s="1"/>
  <c r="F72" i="8"/>
  <c r="R32" i="8"/>
  <c r="S32" i="8" s="1"/>
  <c r="S31" i="8"/>
  <c r="C153" i="8"/>
  <c r="D90" i="7"/>
  <c r="G90" i="7" s="1"/>
  <c r="J85" i="7"/>
  <c r="D91" i="7"/>
  <c r="G91" i="7" s="1"/>
  <c r="D88" i="7"/>
  <c r="D83" i="7"/>
  <c r="C89" i="7"/>
  <c r="C120" i="8"/>
  <c r="C129" i="8" s="1"/>
  <c r="C84" i="7"/>
  <c r="C43" i="8"/>
  <c r="I45" i="8"/>
  <c r="K45" i="8" s="1"/>
  <c r="K46" i="8" s="1"/>
  <c r="K47" i="8" s="1"/>
  <c r="G46" i="8"/>
  <c r="H39" i="8"/>
  <c r="M41" i="8" s="1"/>
  <c r="M42" i="8" s="1"/>
  <c r="M43" i="8" s="1"/>
  <c r="F39" i="8"/>
  <c r="I73" i="7"/>
  <c r="F70" i="7"/>
  <c r="K60" i="7"/>
  <c r="C71" i="7"/>
  <c r="C60" i="8" s="1"/>
  <c r="C42" i="8"/>
  <c r="M35" i="8"/>
  <c r="M36" i="8" s="1"/>
  <c r="M37" i="8" s="1"/>
  <c r="M32" i="8"/>
  <c r="M33" i="8" s="1"/>
  <c r="M34" i="8" s="1"/>
  <c r="C75" i="8"/>
  <c r="M38" i="8"/>
  <c r="M39" i="8" s="1"/>
  <c r="M40" i="8" s="1"/>
  <c r="J36" i="8"/>
  <c r="J37" i="8" s="1"/>
  <c r="J38" i="8" s="1"/>
  <c r="R38" i="8"/>
  <c r="S38" i="8" s="1"/>
  <c r="D49" i="8"/>
  <c r="G49" i="8" s="1"/>
  <c r="I42" i="8"/>
  <c r="K42" i="8" s="1"/>
  <c r="K43" i="8" s="1"/>
  <c r="K44" i="8" s="1"/>
  <c r="C134" i="7"/>
  <c r="F134" i="7" s="1"/>
  <c r="C139" i="7"/>
  <c r="F139" i="7" s="1"/>
  <c r="C136" i="7"/>
  <c r="F136" i="7" s="1"/>
  <c r="C142" i="7"/>
  <c r="F142" i="7" s="1"/>
  <c r="J115" i="7"/>
  <c r="K115" i="7" s="1"/>
  <c r="G114" i="7"/>
  <c r="J67" i="7"/>
  <c r="G66" i="7"/>
  <c r="D70" i="7"/>
  <c r="D72" i="8" s="1"/>
  <c r="D73" i="7"/>
  <c r="G73" i="7" s="1"/>
  <c r="D72" i="7"/>
  <c r="D51" i="8" s="1"/>
  <c r="G69" i="7"/>
  <c r="C75" i="7"/>
  <c r="F65" i="7"/>
  <c r="C66" i="7"/>
  <c r="G64" i="7"/>
  <c r="D65" i="7"/>
  <c r="J65" i="7" s="1"/>
  <c r="K65" i="7" s="1"/>
  <c r="D135" i="7"/>
  <c r="AE132" i="8" l="1"/>
  <c r="AF133" i="8" s="1"/>
  <c r="C133" i="8" s="1"/>
  <c r="F133" i="8" s="1"/>
  <c r="AA130" i="8"/>
  <c r="AC130" i="8" s="1"/>
  <c r="AC135" i="8"/>
  <c r="AC132" i="8"/>
  <c r="AE135" i="8"/>
  <c r="AF136" i="8" s="1"/>
  <c r="C136" i="8" s="1"/>
  <c r="I84" i="7"/>
  <c r="F84" i="7"/>
  <c r="I89" i="7"/>
  <c r="F89" i="7"/>
  <c r="J83" i="7"/>
  <c r="K83" i="7" s="1"/>
  <c r="G83" i="7"/>
  <c r="J88" i="7"/>
  <c r="K88" i="7" s="1"/>
  <c r="G88" i="7"/>
  <c r="F129" i="8"/>
  <c r="F153" i="8"/>
  <c r="C126" i="8"/>
  <c r="F120" i="8"/>
  <c r="F71" i="7"/>
  <c r="F43" i="8"/>
  <c r="Q44" i="8"/>
  <c r="Q45" i="8" s="1"/>
  <c r="Q46" i="8" s="1"/>
  <c r="G51" i="8"/>
  <c r="G72" i="8"/>
  <c r="C61" i="8"/>
  <c r="H60" i="8" s="1"/>
  <c r="J60" i="8" s="1"/>
  <c r="J61" i="8" s="1"/>
  <c r="J62" i="8" s="1"/>
  <c r="F75" i="8"/>
  <c r="C46" i="8"/>
  <c r="D89" i="7"/>
  <c r="J84" i="7"/>
  <c r="D120" i="8"/>
  <c r="D129" i="8" s="1"/>
  <c r="J91" i="7"/>
  <c r="I85" i="7"/>
  <c r="K85" i="7" s="1"/>
  <c r="C121" i="8"/>
  <c r="C90" i="7"/>
  <c r="F90" i="7" s="1"/>
  <c r="C106" i="8"/>
  <c r="F103" i="8" s="1"/>
  <c r="I71" i="7"/>
  <c r="J39" i="8"/>
  <c r="J40" i="8" s="1"/>
  <c r="J41" i="8" s="1"/>
  <c r="C45" i="8"/>
  <c r="C87" i="8" s="1"/>
  <c r="F42" i="8"/>
  <c r="C63" i="8"/>
  <c r="F60" i="8"/>
  <c r="R41" i="8"/>
  <c r="S41" i="8" s="1"/>
  <c r="I72" i="7"/>
  <c r="H42" i="8"/>
  <c r="M44" i="8" s="1"/>
  <c r="M45" i="8" s="1"/>
  <c r="M46" i="8" s="1"/>
  <c r="D139" i="7"/>
  <c r="G139" i="7" s="1"/>
  <c r="D136" i="7"/>
  <c r="G135" i="7"/>
  <c r="N32" i="8"/>
  <c r="R33" i="8"/>
  <c r="S33" i="8" s="1"/>
  <c r="D54" i="8"/>
  <c r="R43" i="8"/>
  <c r="S43" i="8" s="1"/>
  <c r="R42" i="8"/>
  <c r="S42" i="8" s="1"/>
  <c r="D75" i="8"/>
  <c r="D73" i="8"/>
  <c r="R40" i="8"/>
  <c r="S40" i="8" s="1"/>
  <c r="R39" i="8"/>
  <c r="S39" i="8" s="1"/>
  <c r="D52" i="8"/>
  <c r="D48" i="8"/>
  <c r="C79" i="7"/>
  <c r="F79" i="7" s="1"/>
  <c r="C78" i="7"/>
  <c r="F75" i="7"/>
  <c r="C76" i="7"/>
  <c r="I76" i="7" s="1"/>
  <c r="D142" i="7"/>
  <c r="G142" i="7" s="1"/>
  <c r="D134" i="7"/>
  <c r="G134" i="7" s="1"/>
  <c r="J73" i="7"/>
  <c r="K73" i="7" s="1"/>
  <c r="G72" i="7"/>
  <c r="C137" i="7"/>
  <c r="F137" i="7" s="1"/>
  <c r="C143" i="7"/>
  <c r="F143" i="7" s="1"/>
  <c r="C146" i="7"/>
  <c r="F146" i="7" s="1"/>
  <c r="C141" i="7"/>
  <c r="F141" i="7" s="1"/>
  <c r="D75" i="7"/>
  <c r="J66" i="7"/>
  <c r="G65" i="7"/>
  <c r="I67" i="7"/>
  <c r="K67" i="7" s="1"/>
  <c r="F66" i="7"/>
  <c r="G70" i="7"/>
  <c r="D71" i="7"/>
  <c r="J71" i="7" s="1"/>
  <c r="I66" i="7"/>
  <c r="J70" i="7"/>
  <c r="K70" i="7" s="1"/>
  <c r="AE130" i="8" l="1"/>
  <c r="AD130" i="8"/>
  <c r="K84" i="7"/>
  <c r="H46" i="6" s="1"/>
  <c r="K46" i="6" s="1"/>
  <c r="K51" i="6" s="1"/>
  <c r="D30" i="6" s="1"/>
  <c r="H30" i="6" s="1"/>
  <c r="J89" i="7"/>
  <c r="K89" i="7" s="1"/>
  <c r="G89" i="7"/>
  <c r="F126" i="8"/>
  <c r="C123" i="8"/>
  <c r="G129" i="8"/>
  <c r="D126" i="8"/>
  <c r="F121" i="8"/>
  <c r="H120" i="8"/>
  <c r="J120" i="8" s="1"/>
  <c r="J121" i="8" s="1"/>
  <c r="J122" i="8" s="1"/>
  <c r="G120" i="8"/>
  <c r="I120" i="8"/>
  <c r="Q122" i="8"/>
  <c r="C88" i="8"/>
  <c r="F88" i="8" s="1"/>
  <c r="F87" i="8"/>
  <c r="C64" i="8"/>
  <c r="H63" i="8" s="1"/>
  <c r="J63" i="8" s="1"/>
  <c r="J64" i="8" s="1"/>
  <c r="J65" i="8" s="1"/>
  <c r="N35" i="8"/>
  <c r="N36" i="8" s="1"/>
  <c r="N37" i="8" s="1"/>
  <c r="N26" i="8"/>
  <c r="F46" i="8"/>
  <c r="Q47" i="8"/>
  <c r="Q48" i="8" s="1"/>
  <c r="Q49" i="8" s="1"/>
  <c r="K71" i="7"/>
  <c r="F61" i="8"/>
  <c r="G75" i="8"/>
  <c r="G48" i="8"/>
  <c r="G54" i="8"/>
  <c r="F63" i="8"/>
  <c r="F45" i="8"/>
  <c r="C49" i="8"/>
  <c r="F49" i="8" s="1"/>
  <c r="H45" i="8"/>
  <c r="M47" i="8" s="1"/>
  <c r="M48" i="8" s="1"/>
  <c r="M49" i="8" s="1"/>
  <c r="D106" i="8"/>
  <c r="J90" i="7"/>
  <c r="F106" i="8"/>
  <c r="C109" i="8"/>
  <c r="I91" i="7"/>
  <c r="K91" i="7" s="1"/>
  <c r="I90" i="7"/>
  <c r="C48" i="8"/>
  <c r="I72" i="8"/>
  <c r="K72" i="8" s="1"/>
  <c r="K73" i="8" s="1"/>
  <c r="K74" i="8" s="1"/>
  <c r="G73" i="8"/>
  <c r="I51" i="8"/>
  <c r="K51" i="8" s="1"/>
  <c r="K52" i="8" s="1"/>
  <c r="K53" i="8" s="1"/>
  <c r="G52" i="8"/>
  <c r="J42" i="8"/>
  <c r="J43" i="8" s="1"/>
  <c r="J44" i="8" s="1"/>
  <c r="N33" i="8"/>
  <c r="N34" i="8" s="1"/>
  <c r="R44" i="8"/>
  <c r="S44" i="8" s="1"/>
  <c r="D137" i="7"/>
  <c r="D138" i="7" s="1"/>
  <c r="G136" i="7"/>
  <c r="C144" i="7"/>
  <c r="F144" i="7" s="1"/>
  <c r="C138" i="7"/>
  <c r="F138" i="7" s="1"/>
  <c r="R45" i="8"/>
  <c r="S45" i="8" s="1"/>
  <c r="R46" i="8"/>
  <c r="S46" i="8" s="1"/>
  <c r="I48" i="8"/>
  <c r="K48" i="8" s="1"/>
  <c r="K49" i="8" s="1"/>
  <c r="K50" i="8" s="1"/>
  <c r="D61" i="8"/>
  <c r="D57" i="8"/>
  <c r="D76" i="8"/>
  <c r="D55" i="8"/>
  <c r="G55" i="8" s="1"/>
  <c r="D146" i="7"/>
  <c r="G146" i="7" s="1"/>
  <c r="D141" i="7"/>
  <c r="G141" i="7" s="1"/>
  <c r="J72" i="7"/>
  <c r="K72" i="7" s="1"/>
  <c r="G71" i="7"/>
  <c r="F76" i="7"/>
  <c r="C77" i="7"/>
  <c r="I77" i="7" s="1"/>
  <c r="F78" i="7"/>
  <c r="I79" i="7"/>
  <c r="D79" i="7"/>
  <c r="G79" i="7" s="1"/>
  <c r="D76" i="7"/>
  <c r="G75" i="7"/>
  <c r="K66" i="7"/>
  <c r="D143" i="7"/>
  <c r="G143" i="7" s="1"/>
  <c r="Q123" i="8" l="1"/>
  <c r="R123" i="8" s="1"/>
  <c r="S123" i="8" s="1"/>
  <c r="D9" i="8"/>
  <c r="F136" i="8"/>
  <c r="F123" i="8"/>
  <c r="G126" i="8"/>
  <c r="D123" i="8"/>
  <c r="C139" i="8"/>
  <c r="R122" i="8"/>
  <c r="S122" i="8" s="1"/>
  <c r="K120" i="8"/>
  <c r="K121" i="8" s="1"/>
  <c r="K122" i="8" s="1"/>
  <c r="C67" i="8"/>
  <c r="F67" i="8" s="1"/>
  <c r="N38" i="8"/>
  <c r="N41" i="8" s="1"/>
  <c r="H87" i="8"/>
  <c r="J87" i="8" s="1"/>
  <c r="J88" i="8" s="1"/>
  <c r="J89" i="8" s="1"/>
  <c r="F64" i="8"/>
  <c r="Q50" i="8"/>
  <c r="Q51" i="8" s="1"/>
  <c r="Q52" i="8" s="1"/>
  <c r="G57" i="8"/>
  <c r="G61" i="8"/>
  <c r="F48" i="8"/>
  <c r="H48" i="8"/>
  <c r="J48" i="8" s="1"/>
  <c r="J49" i="8" s="1"/>
  <c r="J50" i="8" s="1"/>
  <c r="R47" i="8"/>
  <c r="S47" i="8" s="1"/>
  <c r="J45" i="8"/>
  <c r="J46" i="8" s="1"/>
  <c r="J47" i="8" s="1"/>
  <c r="C52" i="8"/>
  <c r="F52" i="8" s="1"/>
  <c r="C51" i="8"/>
  <c r="K90" i="7"/>
  <c r="D105" i="8"/>
  <c r="D109" i="8"/>
  <c r="G106" i="8"/>
  <c r="D108" i="8"/>
  <c r="F109" i="8"/>
  <c r="C112" i="8"/>
  <c r="I75" i="8"/>
  <c r="K75" i="8" s="1"/>
  <c r="K76" i="8" s="1"/>
  <c r="K77" i="8" s="1"/>
  <c r="G76" i="8"/>
  <c r="G137" i="7"/>
  <c r="G138" i="7"/>
  <c r="D144" i="7"/>
  <c r="C149" i="7"/>
  <c r="F149" i="7" s="1"/>
  <c r="C145" i="7"/>
  <c r="F145" i="7" s="1"/>
  <c r="D79" i="8"/>
  <c r="R48" i="8"/>
  <c r="S48" i="8" s="1"/>
  <c r="R49" i="8"/>
  <c r="S49" i="8" s="1"/>
  <c r="D60" i="8"/>
  <c r="Q62" i="8" s="1"/>
  <c r="Q63" i="8" s="1"/>
  <c r="Q64" i="8" s="1"/>
  <c r="D58" i="8"/>
  <c r="G58" i="8" s="1"/>
  <c r="I54" i="8"/>
  <c r="K54" i="8" s="1"/>
  <c r="K55" i="8" s="1"/>
  <c r="K56" i="8" s="1"/>
  <c r="D64" i="8"/>
  <c r="D77" i="7"/>
  <c r="J77" i="7" s="1"/>
  <c r="K77" i="7" s="1"/>
  <c r="G76" i="7"/>
  <c r="J76" i="7"/>
  <c r="K76" i="7" s="1"/>
  <c r="I78" i="7"/>
  <c r="F77" i="7"/>
  <c r="Q124" i="8" l="1"/>
  <c r="R124" i="8" s="1"/>
  <c r="S124" i="8" s="1"/>
  <c r="G123" i="8"/>
  <c r="I123" i="8"/>
  <c r="F139" i="8"/>
  <c r="H66" i="8"/>
  <c r="J66" i="8" s="1"/>
  <c r="J67" i="8" s="1"/>
  <c r="J68" i="8" s="1"/>
  <c r="C70" i="8"/>
  <c r="F70" i="8" s="1"/>
  <c r="N39" i="8"/>
  <c r="N40" i="8" s="1"/>
  <c r="C114" i="8"/>
  <c r="C117" i="8" s="1"/>
  <c r="C115" i="8"/>
  <c r="C118" i="8" s="1"/>
  <c r="F118" i="8" s="1"/>
  <c r="M50" i="8"/>
  <c r="M51" i="8" s="1"/>
  <c r="M52" i="8" s="1"/>
  <c r="Q53" i="8"/>
  <c r="Q54" i="8" s="1"/>
  <c r="Q55" i="8" s="1"/>
  <c r="C55" i="8"/>
  <c r="F55" i="8" s="1"/>
  <c r="G79" i="8"/>
  <c r="G64" i="8"/>
  <c r="F51" i="8"/>
  <c r="G60" i="8"/>
  <c r="C54" i="8"/>
  <c r="C57" i="8" s="1"/>
  <c r="F162" i="8"/>
  <c r="H51" i="8"/>
  <c r="J51" i="8" s="1"/>
  <c r="J52" i="8" s="1"/>
  <c r="J53" i="8" s="1"/>
  <c r="R50" i="8"/>
  <c r="S50" i="8" s="1"/>
  <c r="G108" i="8"/>
  <c r="I108" i="8"/>
  <c r="K108" i="8" s="1"/>
  <c r="K109" i="8" s="1"/>
  <c r="K110" i="8" s="1"/>
  <c r="G109" i="8"/>
  <c r="D112" i="8"/>
  <c r="D115" i="8" s="1"/>
  <c r="D117" i="8" s="1"/>
  <c r="G105" i="8"/>
  <c r="I105" i="8"/>
  <c r="F112" i="8"/>
  <c r="G144" i="7"/>
  <c r="D145" i="7"/>
  <c r="G145" i="7" s="1"/>
  <c r="D149" i="7"/>
  <c r="G149" i="7" s="1"/>
  <c r="C148" i="7"/>
  <c r="F148" i="7" s="1"/>
  <c r="I57" i="8"/>
  <c r="K57" i="8" s="1"/>
  <c r="K58" i="8" s="1"/>
  <c r="K59" i="8" s="1"/>
  <c r="R52" i="8"/>
  <c r="S52" i="8" s="1"/>
  <c r="R51" i="8"/>
  <c r="S51" i="8" s="1"/>
  <c r="D82" i="8"/>
  <c r="D88" i="8" s="1"/>
  <c r="I78" i="8"/>
  <c r="K78" i="8" s="1"/>
  <c r="K79" i="8" s="1"/>
  <c r="K80" i="8" s="1"/>
  <c r="D67" i="8"/>
  <c r="G67" i="8" s="1"/>
  <c r="D63" i="8"/>
  <c r="Q65" i="8" s="1"/>
  <c r="Q66" i="8" s="1"/>
  <c r="Q67" i="8" s="1"/>
  <c r="I60" i="8"/>
  <c r="K60" i="8" s="1"/>
  <c r="K61" i="8" s="1"/>
  <c r="K62" i="8" s="1"/>
  <c r="N44" i="8"/>
  <c r="N42" i="8"/>
  <c r="G77" i="7"/>
  <c r="D78" i="7"/>
  <c r="J78" i="7" s="1"/>
  <c r="K78" i="7" s="1"/>
  <c r="K123" i="8" l="1"/>
  <c r="K124" i="8" s="1"/>
  <c r="K125" i="8" s="1"/>
  <c r="F117" i="8"/>
  <c r="H117" i="8"/>
  <c r="J117" i="8" s="1"/>
  <c r="J118" i="8" s="1"/>
  <c r="J119" i="8" s="1"/>
  <c r="I117" i="8"/>
  <c r="G117" i="8"/>
  <c r="Q119" i="8"/>
  <c r="H69" i="8"/>
  <c r="J69" i="8" s="1"/>
  <c r="J70" i="8" s="1"/>
  <c r="J71" i="8" s="1"/>
  <c r="C73" i="8"/>
  <c r="Q74" i="8" s="1"/>
  <c r="Q75" i="8" s="1"/>
  <c r="Q76" i="8" s="1"/>
  <c r="I87" i="8"/>
  <c r="K87" i="8" s="1"/>
  <c r="K88" i="8" s="1"/>
  <c r="K89" i="8" s="1"/>
  <c r="Q89" i="8"/>
  <c r="R89" i="8" s="1"/>
  <c r="S89" i="8" s="1"/>
  <c r="G88" i="8"/>
  <c r="R53" i="8"/>
  <c r="S53" i="8" s="1"/>
  <c r="H54" i="8"/>
  <c r="M56" i="8" s="1"/>
  <c r="M57" i="8" s="1"/>
  <c r="M58" i="8" s="1"/>
  <c r="C58" i="8"/>
  <c r="F58" i="8" s="1"/>
  <c r="Q56" i="8"/>
  <c r="Q57" i="8" s="1"/>
  <c r="Q58" i="8" s="1"/>
  <c r="G82" i="8"/>
  <c r="F57" i="8"/>
  <c r="G63" i="8"/>
  <c r="F54" i="8"/>
  <c r="M53" i="8"/>
  <c r="M54" i="8" s="1"/>
  <c r="M55" i="8" s="1"/>
  <c r="K105" i="8"/>
  <c r="K106" i="8" s="1"/>
  <c r="K107" i="8" s="1"/>
  <c r="G112" i="8"/>
  <c r="I111" i="8"/>
  <c r="K111" i="8" s="1"/>
  <c r="K112" i="8" s="1"/>
  <c r="K113" i="8" s="1"/>
  <c r="Q116" i="8"/>
  <c r="F114" i="8"/>
  <c r="H114" i="8"/>
  <c r="F115" i="8"/>
  <c r="D148" i="7"/>
  <c r="G148" i="7" s="1"/>
  <c r="I63" i="8"/>
  <c r="D66" i="8"/>
  <c r="Q68" i="8" s="1"/>
  <c r="Q69" i="8" s="1"/>
  <c r="Q70" i="8" s="1"/>
  <c r="R54" i="8"/>
  <c r="S54" i="8" s="1"/>
  <c r="R55" i="8"/>
  <c r="S55" i="8" s="1"/>
  <c r="D69" i="8"/>
  <c r="D70" i="8"/>
  <c r="G70" i="8" s="1"/>
  <c r="D85" i="8"/>
  <c r="I81" i="8"/>
  <c r="K81" i="8" s="1"/>
  <c r="K82" i="8" s="1"/>
  <c r="K83" i="8" s="1"/>
  <c r="N43" i="8"/>
  <c r="R62" i="8"/>
  <c r="S62" i="8" s="1"/>
  <c r="N45" i="8"/>
  <c r="N47" i="8"/>
  <c r="J79" i="7"/>
  <c r="K79" i="7" s="1"/>
  <c r="G78" i="7"/>
  <c r="R119" i="8" l="1"/>
  <c r="S119" i="8" s="1"/>
  <c r="Q120" i="8"/>
  <c r="Q117" i="8"/>
  <c r="R116" i="8"/>
  <c r="S116" i="8" s="1"/>
  <c r="K117" i="8"/>
  <c r="K118" i="8" s="1"/>
  <c r="K119" i="8" s="1"/>
  <c r="M122" i="8"/>
  <c r="M123" i="8" s="1"/>
  <c r="M124" i="8" s="1"/>
  <c r="H72" i="8"/>
  <c r="J72" i="8" s="1"/>
  <c r="J73" i="8" s="1"/>
  <c r="J74" i="8" s="1"/>
  <c r="C76" i="8"/>
  <c r="Q77" i="8" s="1"/>
  <c r="Q78" i="8" s="1"/>
  <c r="Q79" i="8" s="1"/>
  <c r="F73" i="8"/>
  <c r="Q90" i="8"/>
  <c r="Q91" i="8" s="1"/>
  <c r="Q59" i="8"/>
  <c r="Q60" i="8" s="1"/>
  <c r="Q61" i="8" s="1"/>
  <c r="H57" i="8"/>
  <c r="M62" i="8" s="1"/>
  <c r="M63" i="8" s="1"/>
  <c r="M64" i="8" s="1"/>
  <c r="R56" i="8"/>
  <c r="S56" i="8" s="1"/>
  <c r="J54" i="8"/>
  <c r="J55" i="8" s="1"/>
  <c r="J56" i="8" s="1"/>
  <c r="Q71" i="8"/>
  <c r="Q72" i="8" s="1"/>
  <c r="Q73" i="8" s="1"/>
  <c r="G85" i="8"/>
  <c r="G69" i="8"/>
  <c r="G66" i="8"/>
  <c r="G115" i="8"/>
  <c r="I114" i="8"/>
  <c r="K114" i="8" s="1"/>
  <c r="K115" i="8" s="1"/>
  <c r="K116" i="8" s="1"/>
  <c r="J114" i="8"/>
  <c r="J115" i="8" s="1"/>
  <c r="J116" i="8" s="1"/>
  <c r="I66" i="8"/>
  <c r="N50" i="8"/>
  <c r="N48" i="8"/>
  <c r="K63" i="8"/>
  <c r="K64" i="8" s="1"/>
  <c r="K65" i="8" s="1"/>
  <c r="M65" i="8"/>
  <c r="M66" i="8" s="1"/>
  <c r="M67" i="8" s="1"/>
  <c r="D91" i="8"/>
  <c r="Q92" i="8" s="1"/>
  <c r="Q93" i="8" s="1"/>
  <c r="Q94" i="8" s="1"/>
  <c r="R63" i="8"/>
  <c r="S63" i="8" s="1"/>
  <c r="R64" i="8"/>
  <c r="S64" i="8" s="1"/>
  <c r="N46" i="8"/>
  <c r="I69" i="8"/>
  <c r="R58" i="8"/>
  <c r="S58" i="8" s="1"/>
  <c r="R57" i="8"/>
  <c r="S57" i="8" s="1"/>
  <c r="I84" i="8"/>
  <c r="K84" i="8" s="1"/>
  <c r="K85" i="8" s="1"/>
  <c r="K86" i="8" s="1"/>
  <c r="R74" i="8"/>
  <c r="S74" i="8" s="1"/>
  <c r="R65" i="8"/>
  <c r="S65" i="8" s="1"/>
  <c r="M119" i="8" l="1"/>
  <c r="Q118" i="8"/>
  <c r="R118" i="8" s="1"/>
  <c r="S118" i="8" s="1"/>
  <c r="R117" i="8"/>
  <c r="S117" i="8" s="1"/>
  <c r="Q121" i="8"/>
  <c r="R121" i="8" s="1"/>
  <c r="S121" i="8" s="1"/>
  <c r="R120" i="8"/>
  <c r="S120" i="8" s="1"/>
  <c r="F76" i="8"/>
  <c r="C79" i="8"/>
  <c r="F79" i="8" s="1"/>
  <c r="H75" i="8"/>
  <c r="M77" i="8" s="1"/>
  <c r="M78" i="8" s="1"/>
  <c r="M79" i="8" s="1"/>
  <c r="C78" i="8"/>
  <c r="M59" i="8"/>
  <c r="M60" i="8" s="1"/>
  <c r="M61" i="8" s="1"/>
  <c r="R59" i="8"/>
  <c r="S59" i="8" s="1"/>
  <c r="J57" i="8"/>
  <c r="J58" i="8" s="1"/>
  <c r="J59" i="8" s="1"/>
  <c r="G91" i="8"/>
  <c r="R71" i="8"/>
  <c r="S71" i="8" s="1"/>
  <c r="N51" i="8"/>
  <c r="N53" i="8"/>
  <c r="N49" i="8"/>
  <c r="R68" i="8"/>
  <c r="S68" i="8" s="1"/>
  <c r="D94" i="8"/>
  <c r="Q95" i="8" s="1"/>
  <c r="Q96" i="8" s="1"/>
  <c r="Q97" i="8" s="1"/>
  <c r="I90" i="8"/>
  <c r="K69" i="8"/>
  <c r="K70" i="8" s="1"/>
  <c r="K71" i="8" s="1"/>
  <c r="M71" i="8"/>
  <c r="M72" i="8" s="1"/>
  <c r="M73" i="8" s="1"/>
  <c r="R77" i="8"/>
  <c r="S77" i="8" s="1"/>
  <c r="K66" i="8"/>
  <c r="K67" i="8" s="1"/>
  <c r="K68" i="8" s="1"/>
  <c r="M68" i="8"/>
  <c r="M69" i="8" s="1"/>
  <c r="M70" i="8" s="1"/>
  <c r="R76" i="8"/>
  <c r="S76" i="8" s="1"/>
  <c r="R75" i="8"/>
  <c r="S75" i="8" s="1"/>
  <c r="M74" i="8"/>
  <c r="M75" i="8" s="1"/>
  <c r="M76" i="8" s="1"/>
  <c r="R67" i="8"/>
  <c r="S67" i="8" s="1"/>
  <c r="R66" i="8"/>
  <c r="S66" i="8" s="1"/>
  <c r="R61" i="8"/>
  <c r="S61" i="8" s="1"/>
  <c r="R60" i="8"/>
  <c r="S60" i="8" s="1"/>
  <c r="M120" i="8" l="1"/>
  <c r="M121" i="8" s="1"/>
  <c r="Q80" i="8"/>
  <c r="Q81" i="8" s="1"/>
  <c r="Q82" i="8" s="1"/>
  <c r="C82" i="8"/>
  <c r="F82" i="8" s="1"/>
  <c r="C81" i="8"/>
  <c r="C84" i="8" s="1"/>
  <c r="J75" i="8"/>
  <c r="J76" i="8" s="1"/>
  <c r="J77" i="8" s="1"/>
  <c r="H78" i="8"/>
  <c r="J78" i="8" s="1"/>
  <c r="J79" i="8" s="1"/>
  <c r="J80" i="8" s="1"/>
  <c r="F78" i="8"/>
  <c r="G94" i="8"/>
  <c r="R69" i="8"/>
  <c r="S69" i="8" s="1"/>
  <c r="R70" i="8"/>
  <c r="S70" i="8" s="1"/>
  <c r="R91" i="8"/>
  <c r="S91" i="8" s="1"/>
  <c r="R90" i="8"/>
  <c r="S90" i="8" s="1"/>
  <c r="N54" i="8"/>
  <c r="N56" i="8"/>
  <c r="K90" i="8"/>
  <c r="K91" i="8" s="1"/>
  <c r="K92" i="8" s="1"/>
  <c r="M92" i="8"/>
  <c r="M93" i="8" s="1"/>
  <c r="M94" i="8" s="1"/>
  <c r="D97" i="8"/>
  <c r="G97" i="8" s="1"/>
  <c r="I93" i="8"/>
  <c r="D96" i="8"/>
  <c r="R72" i="8"/>
  <c r="S72" i="8" s="1"/>
  <c r="R73" i="8"/>
  <c r="S73" i="8" s="1"/>
  <c r="R92" i="8"/>
  <c r="S92" i="8" s="1"/>
  <c r="N52" i="8"/>
  <c r="R78" i="8"/>
  <c r="S78" i="8" s="1"/>
  <c r="R79" i="8"/>
  <c r="S79" i="8" s="1"/>
  <c r="C85" i="8" l="1"/>
  <c r="F85" i="8" s="1"/>
  <c r="H81" i="8"/>
  <c r="M83" i="8" s="1"/>
  <c r="M84" i="8" s="1"/>
  <c r="M85" i="8" s="1"/>
  <c r="Q83" i="8"/>
  <c r="Q84" i="8" s="1"/>
  <c r="Q85" i="8" s="1"/>
  <c r="M80" i="8"/>
  <c r="M81" i="8" s="1"/>
  <c r="M82" i="8" s="1"/>
  <c r="R80" i="8"/>
  <c r="S80" i="8" s="1"/>
  <c r="F81" i="8"/>
  <c r="Q98" i="8"/>
  <c r="Q99" i="8" s="1"/>
  <c r="Q100" i="8" s="1"/>
  <c r="G96" i="8"/>
  <c r="F84" i="8"/>
  <c r="R82" i="8"/>
  <c r="S82" i="8" s="1"/>
  <c r="R81" i="8"/>
  <c r="S81" i="8" s="1"/>
  <c r="I96" i="8"/>
  <c r="R95" i="8"/>
  <c r="S95" i="8" s="1"/>
  <c r="K93" i="8"/>
  <c r="K94" i="8" s="1"/>
  <c r="K95" i="8" s="1"/>
  <c r="M95" i="8"/>
  <c r="M96" i="8" s="1"/>
  <c r="M97" i="8" s="1"/>
  <c r="N59" i="8"/>
  <c r="N57" i="8"/>
  <c r="R93" i="8"/>
  <c r="S93" i="8" s="1"/>
  <c r="R94" i="8"/>
  <c r="S94" i="8" s="1"/>
  <c r="N55" i="8"/>
  <c r="D99" i="8"/>
  <c r="D100" i="8"/>
  <c r="Q86" i="8" l="1"/>
  <c r="Q87" i="8" s="1"/>
  <c r="Q88" i="8" s="1"/>
  <c r="R88" i="8" s="1"/>
  <c r="S88" i="8" s="1"/>
  <c r="H84" i="8"/>
  <c r="M89" i="8" s="1"/>
  <c r="M90" i="8" s="1"/>
  <c r="M91" i="8" s="1"/>
  <c r="J81" i="8"/>
  <c r="J82" i="8" s="1"/>
  <c r="J83" i="8" s="1"/>
  <c r="R83" i="8"/>
  <c r="S83" i="8" s="1"/>
  <c r="G100" i="8"/>
  <c r="G103" i="8"/>
  <c r="G102" i="8"/>
  <c r="Q101" i="8"/>
  <c r="Q102" i="8" s="1"/>
  <c r="G99" i="8"/>
  <c r="R96" i="8"/>
  <c r="S96" i="8" s="1"/>
  <c r="R97" i="8"/>
  <c r="S97" i="8" s="1"/>
  <c r="R98" i="8"/>
  <c r="S98" i="8" s="1"/>
  <c r="N58" i="8"/>
  <c r="R85" i="8"/>
  <c r="S85" i="8" s="1"/>
  <c r="R84" i="8"/>
  <c r="S84" i="8" s="1"/>
  <c r="K96" i="8"/>
  <c r="K97" i="8" s="1"/>
  <c r="K98" i="8" s="1"/>
  <c r="M98" i="8"/>
  <c r="M99" i="8" s="1"/>
  <c r="M100" i="8" s="1"/>
  <c r="N60" i="8"/>
  <c r="N62" i="8"/>
  <c r="I99" i="8"/>
  <c r="J84" i="8" l="1"/>
  <c r="J85" i="8" s="1"/>
  <c r="J86" i="8" s="1"/>
  <c r="M86" i="8"/>
  <c r="M87" i="8" s="1"/>
  <c r="M88" i="8" s="1"/>
  <c r="R87" i="8"/>
  <c r="S87" i="8" s="1"/>
  <c r="R86" i="8"/>
  <c r="S86" i="8" s="1"/>
  <c r="I102" i="8"/>
  <c r="K102" i="8" s="1"/>
  <c r="K103" i="8" s="1"/>
  <c r="K104" i="8" s="1"/>
  <c r="R102" i="8"/>
  <c r="S102" i="8" s="1"/>
  <c r="Q103" i="8"/>
  <c r="R103" i="8" s="1"/>
  <c r="S103" i="8" s="1"/>
  <c r="R101" i="8"/>
  <c r="S101" i="8" s="1"/>
  <c r="K99" i="8"/>
  <c r="K100" i="8" s="1"/>
  <c r="K101" i="8" s="1"/>
  <c r="M101" i="8"/>
  <c r="M102" i="8" s="1"/>
  <c r="M103" i="8" s="1"/>
  <c r="R100" i="8"/>
  <c r="S100" i="8" s="1"/>
  <c r="R99" i="8"/>
  <c r="S99" i="8" s="1"/>
  <c r="N65" i="8"/>
  <c r="N63" i="8"/>
  <c r="N61" i="8"/>
  <c r="N68" i="8" l="1"/>
  <c r="N66" i="8"/>
  <c r="N64" i="8"/>
  <c r="N67" i="8" l="1"/>
  <c r="N69" i="8"/>
  <c r="N71" i="8"/>
  <c r="N70" i="8" l="1"/>
  <c r="N72" i="8"/>
  <c r="N74" i="8"/>
  <c r="N73" i="8" l="1"/>
  <c r="N75" i="8"/>
  <c r="N77" i="8"/>
  <c r="N76" i="8" l="1"/>
  <c r="N78" i="8"/>
  <c r="N80" i="8"/>
  <c r="N79" i="8" l="1"/>
  <c r="N83" i="8"/>
  <c r="N81" i="8"/>
  <c r="N82" i="8" l="1"/>
  <c r="N84" i="8"/>
  <c r="N86" i="8"/>
  <c r="N87" i="8" l="1"/>
  <c r="N89" i="8"/>
  <c r="N85" i="8"/>
  <c r="N88" i="8" l="1"/>
  <c r="N92" i="8"/>
  <c r="N90" i="8"/>
  <c r="N91" i="8" l="1"/>
  <c r="N93" i="8"/>
  <c r="N95" i="8"/>
  <c r="N96" i="8" l="1"/>
  <c r="N98" i="8"/>
  <c r="N94" i="8"/>
  <c r="N99" i="8" l="1"/>
  <c r="N101" i="8"/>
  <c r="N102" i="8" s="1"/>
  <c r="N103" i="8" s="1"/>
  <c r="N97" i="8"/>
  <c r="N100" i="8" l="1"/>
  <c r="F102" i="8"/>
  <c r="Q104" i="8"/>
  <c r="Q105" i="8" s="1"/>
  <c r="R105" i="8" s="1"/>
  <c r="S105" i="8" s="1"/>
  <c r="C108" i="8"/>
  <c r="Q110" i="8" s="1"/>
  <c r="R110" i="8" s="1"/>
  <c r="Q107" i="8"/>
  <c r="R107" i="8" s="1"/>
  <c r="S107" i="8" s="1"/>
  <c r="H102" i="8"/>
  <c r="J102" i="8" s="1"/>
  <c r="J103" i="8" s="1"/>
  <c r="J104" i="8" s="1"/>
  <c r="S110" i="8" l="1"/>
  <c r="F13" i="6"/>
  <c r="H9" i="8"/>
  <c r="M104" i="8"/>
  <c r="M105" i="8" s="1"/>
  <c r="M106" i="8" s="1"/>
  <c r="Q108" i="8"/>
  <c r="R108" i="8" s="1"/>
  <c r="S108" i="8" s="1"/>
  <c r="Q111" i="8"/>
  <c r="R111" i="8" s="1"/>
  <c r="Q106" i="8"/>
  <c r="R106" i="8" s="1"/>
  <c r="S106" i="8" s="1"/>
  <c r="H105" i="8"/>
  <c r="H108" i="8"/>
  <c r="F108" i="8"/>
  <c r="C111" i="8"/>
  <c r="R104" i="8"/>
  <c r="S104" i="8" s="1"/>
  <c r="F105" i="8"/>
  <c r="S111" i="8" l="1"/>
  <c r="N104" i="8"/>
  <c r="N105" i="8" s="1"/>
  <c r="Q109" i="8"/>
  <c r="R109" i="8" s="1"/>
  <c r="S109" i="8" s="1"/>
  <c r="Q112" i="8"/>
  <c r="R112" i="8" s="1"/>
  <c r="S112" i="8" s="1"/>
  <c r="J108" i="8"/>
  <c r="J109" i="8" s="1"/>
  <c r="J110" i="8" s="1"/>
  <c r="M110" i="8"/>
  <c r="M107" i="8"/>
  <c r="M108" i="8" s="1"/>
  <c r="M109" i="8" s="1"/>
  <c r="J105" i="8"/>
  <c r="J106" i="8" s="1"/>
  <c r="J107" i="8" s="1"/>
  <c r="F111" i="8"/>
  <c r="Q113" i="8"/>
  <c r="R113" i="8" s="1"/>
  <c r="S113" i="8" s="1"/>
  <c r="H111" i="8"/>
  <c r="N107" i="8" l="1"/>
  <c r="M111" i="8"/>
  <c r="M112" i="8" s="1"/>
  <c r="M114" i="8"/>
  <c r="M115" i="8" s="1"/>
  <c r="N106" i="8"/>
  <c r="J111" i="8"/>
  <c r="J112" i="8" s="1"/>
  <c r="J113" i="8" s="1"/>
  <c r="M113" i="8"/>
  <c r="M116" i="8"/>
  <c r="Q114" i="8"/>
  <c r="R114" i="8" s="1"/>
  <c r="S114" i="8" s="1"/>
  <c r="M117" i="8" l="1"/>
  <c r="M118" i="8" s="1"/>
  <c r="N110" i="8"/>
  <c r="N108" i="8"/>
  <c r="Q115" i="8"/>
  <c r="R115" i="8" s="1"/>
  <c r="S115" i="8" s="1"/>
  <c r="N111" i="8" l="1"/>
  <c r="N113" i="8"/>
  <c r="N109" i="8"/>
  <c r="N116" i="8" l="1"/>
  <c r="N114" i="8"/>
  <c r="N112" i="8"/>
  <c r="N117" i="8" l="1"/>
  <c r="N119" i="8"/>
  <c r="N115" i="8"/>
  <c r="N120" i="8" l="1"/>
  <c r="N121" i="8" s="1"/>
  <c r="N122" i="8"/>
  <c r="N118" i="8"/>
  <c r="N123" i="8" l="1"/>
  <c r="N124" i="8" s="1"/>
  <c r="E9" i="8"/>
  <c r="U117" i="8" s="1"/>
  <c r="V117" i="8" s="1"/>
  <c r="U75" i="8" l="1"/>
  <c r="T75" i="8" s="1"/>
  <c r="U55" i="8"/>
  <c r="T55" i="8" s="1"/>
  <c r="U71" i="8"/>
  <c r="T71" i="8" s="1"/>
  <c r="U38" i="8"/>
  <c r="T38" i="8" s="1"/>
  <c r="U101" i="8"/>
  <c r="T101" i="8" s="1"/>
  <c r="U116" i="8"/>
  <c r="T116" i="8" s="1"/>
  <c r="U33" i="8"/>
  <c r="T33" i="8" s="1"/>
  <c r="U113" i="8"/>
  <c r="T113" i="8" s="1"/>
  <c r="U83" i="8"/>
  <c r="T83" i="8" s="1"/>
  <c r="U29" i="8"/>
  <c r="T29" i="8" s="1"/>
  <c r="U99" i="8"/>
  <c r="T99" i="8" s="1"/>
  <c r="U96" i="8"/>
  <c r="T96" i="8" s="1"/>
  <c r="U81" i="8"/>
  <c r="T81" i="8" s="1"/>
  <c r="U109" i="8"/>
  <c r="T109" i="8" s="1"/>
  <c r="U98" i="8"/>
  <c r="T98" i="8" s="1"/>
  <c r="U111" i="8"/>
  <c r="V111" i="8" s="1"/>
  <c r="U89" i="8"/>
  <c r="V89" i="8" s="1"/>
  <c r="U50" i="8"/>
  <c r="T50" i="8" s="1"/>
  <c r="U88" i="8"/>
  <c r="V88" i="8" s="1"/>
  <c r="U114" i="8"/>
  <c r="T114" i="8" s="1"/>
  <c r="U47" i="8"/>
  <c r="T47" i="8" s="1"/>
  <c r="I49" i="6" s="1"/>
  <c r="U70" i="8"/>
  <c r="T70" i="8" s="1"/>
  <c r="U93" i="8"/>
  <c r="T93" i="8" s="1"/>
  <c r="U87" i="8"/>
  <c r="T87" i="8" s="1"/>
  <c r="U80" i="8"/>
  <c r="T80" i="8" s="1"/>
  <c r="U82" i="8"/>
  <c r="T82" i="8" s="1"/>
  <c r="U44" i="8"/>
  <c r="T44" i="8" s="1"/>
  <c r="U112" i="8"/>
  <c r="V112" i="8" s="1"/>
  <c r="U100" i="8"/>
  <c r="T100" i="8" s="1"/>
  <c r="U69" i="8"/>
  <c r="T69" i="8" s="1"/>
  <c r="U76" i="8"/>
  <c r="T76" i="8" s="1"/>
  <c r="U97" i="8"/>
  <c r="T97" i="8" s="1"/>
  <c r="U42" i="8"/>
  <c r="T42" i="8" s="1"/>
  <c r="D8" i="8"/>
  <c r="H8" i="8" s="1"/>
  <c r="U105" i="8"/>
  <c r="V105" i="8" s="1"/>
  <c r="U46" i="8"/>
  <c r="T46" i="8" s="1"/>
  <c r="U94" i="8"/>
  <c r="T94" i="8" s="1"/>
  <c r="U52" i="8"/>
  <c r="T52" i="8" s="1"/>
  <c r="U56" i="8"/>
  <c r="T56" i="8" s="1"/>
  <c r="U115" i="8"/>
  <c r="V115" i="8" s="1"/>
  <c r="U110" i="8"/>
  <c r="T110" i="8" s="1"/>
  <c r="U119" i="8"/>
  <c r="T119" i="8" s="1"/>
  <c r="U108" i="8"/>
  <c r="T108" i="8" s="1"/>
  <c r="U30" i="8"/>
  <c r="T30" i="8" s="1"/>
  <c r="U45" i="8"/>
  <c r="T45" i="8" s="1"/>
  <c r="U64" i="8"/>
  <c r="T64" i="8" s="1"/>
  <c r="U73" i="8"/>
  <c r="T73" i="8" s="1"/>
  <c r="U43" i="8"/>
  <c r="T43" i="8" s="1"/>
  <c r="U104" i="8"/>
  <c r="T104" i="8" s="1"/>
  <c r="I43" i="6" s="1"/>
  <c r="U37" i="8"/>
  <c r="T37" i="8" s="1"/>
  <c r="U51" i="8"/>
  <c r="T51" i="8" s="1"/>
  <c r="U66" i="8"/>
  <c r="T66" i="8" s="1"/>
  <c r="U61" i="8"/>
  <c r="T61" i="8" s="1"/>
  <c r="U102" i="8"/>
  <c r="T102" i="8" s="1"/>
  <c r="U57" i="8"/>
  <c r="T57" i="8" s="1"/>
  <c r="U63" i="8"/>
  <c r="T63" i="8" s="1"/>
  <c r="U103" i="8"/>
  <c r="T103" i="8" s="1"/>
  <c r="U84" i="8"/>
  <c r="T84" i="8" s="1"/>
  <c r="G9" i="8"/>
  <c r="D17" i="6" s="1"/>
  <c r="F17" i="6" s="1"/>
  <c r="U74" i="8"/>
  <c r="T74" i="8" s="1"/>
  <c r="I45" i="6" s="1"/>
  <c r="U62" i="8"/>
  <c r="T62" i="8" s="1"/>
  <c r="U95" i="8"/>
  <c r="T95" i="8" s="1"/>
  <c r="U53" i="8"/>
  <c r="T53" i="8" s="1"/>
  <c r="U79" i="8"/>
  <c r="T79" i="8" s="1"/>
  <c r="U68" i="8"/>
  <c r="T68" i="8" s="1"/>
  <c r="U92" i="8"/>
  <c r="T92" i="8" s="1"/>
  <c r="T117" i="8"/>
  <c r="U106" i="8"/>
  <c r="V106" i="8" s="1"/>
  <c r="U34" i="8"/>
  <c r="T34" i="8" s="1"/>
  <c r="U65" i="8"/>
  <c r="T65" i="8" s="1"/>
  <c r="U86" i="8"/>
  <c r="T86" i="8" s="1"/>
  <c r="I39" i="6" s="1"/>
  <c r="U60" i="8"/>
  <c r="T60" i="8" s="1"/>
  <c r="U54" i="8"/>
  <c r="T54" i="8" s="1"/>
  <c r="U77" i="8"/>
  <c r="T77" i="8" s="1"/>
  <c r="U90" i="8"/>
  <c r="T90" i="8" s="1"/>
  <c r="U67" i="8"/>
  <c r="T67" i="8" s="1"/>
  <c r="U35" i="8"/>
  <c r="T35" i="8" s="1"/>
  <c r="U32" i="8"/>
  <c r="T32" i="8" s="1"/>
  <c r="I50" i="6" s="1"/>
  <c r="U39" i="8"/>
  <c r="T39" i="8" s="1"/>
  <c r="U40" i="8"/>
  <c r="T40" i="8" s="1"/>
  <c r="U118" i="8"/>
  <c r="V118" i="8" s="1"/>
  <c r="U26" i="8"/>
  <c r="V26" i="8" s="1"/>
  <c r="U78" i="8"/>
  <c r="T78" i="8" s="1"/>
  <c r="U49" i="8"/>
  <c r="T49" i="8" s="1"/>
  <c r="U58" i="8"/>
  <c r="T58" i="8" s="1"/>
  <c r="U59" i="8"/>
  <c r="T59" i="8" s="1"/>
  <c r="I44" i="6" s="1"/>
  <c r="U31" i="8"/>
  <c r="T31" i="8" s="1"/>
  <c r="U72" i="8"/>
  <c r="T72" i="8" s="1"/>
  <c r="U41" i="8"/>
  <c r="T41" i="8" s="1"/>
  <c r="U36" i="8"/>
  <c r="T36" i="8" s="1"/>
  <c r="U107" i="8"/>
  <c r="U85" i="8"/>
  <c r="T85" i="8" s="1"/>
  <c r="U91" i="8"/>
  <c r="T91" i="8" s="1"/>
  <c r="I9" i="8"/>
  <c r="D34" i="6" s="1"/>
  <c r="D3" i="8" s="1"/>
  <c r="E3" i="8" s="1"/>
  <c r="U48" i="8"/>
  <c r="T48" i="8" s="1"/>
  <c r="V107" i="8" l="1"/>
  <c r="T107" i="8"/>
  <c r="I47" i="6" s="1"/>
  <c r="V113" i="8"/>
  <c r="V116" i="8"/>
  <c r="T89" i="8"/>
  <c r="V87" i="8"/>
  <c r="T111" i="8"/>
  <c r="V114" i="8"/>
  <c r="T88" i="8"/>
  <c r="V109" i="8"/>
  <c r="D12" i="6"/>
  <c r="F12" i="6" s="1"/>
  <c r="T112" i="8"/>
  <c r="V108" i="8"/>
  <c r="V110" i="8"/>
  <c r="V119" i="8"/>
  <c r="T105" i="8"/>
  <c r="D80" i="6"/>
  <c r="J80" i="6" s="1"/>
  <c r="T115" i="8"/>
  <c r="T106" i="8"/>
  <c r="D4" i="8"/>
  <c r="H3" i="8"/>
  <c r="I3" i="8" s="1"/>
  <c r="D2" i="8"/>
  <c r="E2" i="8" s="1"/>
  <c r="H2" i="8"/>
  <c r="I2" i="8" s="1"/>
  <c r="T118" i="8"/>
  <c r="H4" i="8"/>
  <c r="V83" i="8"/>
  <c r="V101" i="8"/>
  <c r="V34" i="8"/>
  <c r="V68" i="8"/>
  <c r="V33" i="8"/>
  <c r="V100" i="8"/>
  <c r="V94" i="8"/>
  <c r="V55" i="8"/>
  <c r="V69" i="8"/>
  <c r="V78" i="8"/>
  <c r="V93" i="8"/>
  <c r="V30" i="8"/>
  <c r="V67" i="8"/>
  <c r="V80" i="8"/>
  <c r="V72" i="8"/>
  <c r="V85" i="8"/>
  <c r="V82" i="8"/>
  <c r="V50" i="8"/>
  <c r="V75" i="8"/>
  <c r="V66" i="8"/>
  <c r="V32" i="8"/>
  <c r="V103" i="8"/>
  <c r="V41" i="8"/>
  <c r="V54" i="8"/>
  <c r="V31" i="8"/>
  <c r="V60" i="8"/>
  <c r="V98" i="8"/>
  <c r="V79" i="8"/>
  <c r="V59" i="8"/>
  <c r="V81" i="8"/>
  <c r="V95" i="8"/>
  <c r="V91" i="8"/>
  <c r="V42" i="8"/>
  <c r="V36" i="8"/>
  <c r="V92" i="8"/>
  <c r="V37" i="8"/>
  <c r="V49" i="8"/>
  <c r="V102" i="8"/>
  <c r="V45" i="8"/>
  <c r="V64" i="8"/>
  <c r="V52" i="8"/>
  <c r="V40" i="8"/>
  <c r="V46" i="8"/>
  <c r="V56" i="8"/>
  <c r="V44" i="8"/>
  <c r="V53" i="8"/>
  <c r="V43" i="8"/>
  <c r="V99" i="8"/>
  <c r="V63" i="8"/>
  <c r="V29" i="8"/>
  <c r="V90" i="8"/>
  <c r="V84" i="8"/>
  <c r="V96" i="8"/>
  <c r="V51" i="8"/>
  <c r="V86" i="8"/>
  <c r="V77" i="8"/>
  <c r="V48" i="8"/>
  <c r="V58" i="8"/>
  <c r="V73" i="8"/>
  <c r="V74" i="8"/>
  <c r="V76" i="8"/>
  <c r="V35" i="8"/>
  <c r="V38" i="8"/>
  <c r="V62" i="8"/>
  <c r="V39" i="8"/>
  <c r="V61" i="8"/>
  <c r="V97" i="8"/>
  <c r="V47" i="8"/>
  <c r="V57" i="8"/>
  <c r="V71" i="8"/>
  <c r="V70" i="8"/>
  <c r="V65" i="8"/>
  <c r="V104" i="8"/>
  <c r="D75" i="6" l="1"/>
  <c r="J75" i="6" s="1"/>
  <c r="D78" i="6" l="1"/>
  <c r="J78" i="6" s="1"/>
  <c r="O10" i="7" l="1"/>
  <c r="T10" i="7" s="1"/>
  <c r="X10" i="7" l="1"/>
  <c r="V10" i="7"/>
  <c r="U10" i="7"/>
  <c r="W10" i="7" s="1"/>
  <c r="S10" i="7"/>
  <c r="P10" i="7"/>
  <c r="Q10" i="7"/>
  <c r="D93" i="7" l="1"/>
  <c r="D94" i="7" s="1"/>
  <c r="D99" i="7"/>
  <c r="D100" i="7" s="1"/>
  <c r="D101" i="7" s="1"/>
  <c r="D102" i="7" s="1"/>
  <c r="C93" i="7"/>
  <c r="F93" i="7" s="1"/>
  <c r="C99" i="7"/>
  <c r="R10" i="7"/>
  <c r="G93" i="7" l="1"/>
  <c r="D97" i="7"/>
  <c r="D103" i="7" s="1"/>
  <c r="G103" i="7" s="1"/>
  <c r="J94" i="7"/>
  <c r="AA148" i="8"/>
  <c r="AC148" i="8" s="1"/>
  <c r="Z163" i="8"/>
  <c r="D157" i="8"/>
  <c r="AC163" i="8"/>
  <c r="C100" i="7"/>
  <c r="F99" i="7"/>
  <c r="C103" i="7"/>
  <c r="F103" i="7" s="1"/>
  <c r="C97" i="7"/>
  <c r="F97" i="7" s="1"/>
  <c r="C94" i="7"/>
  <c r="AA163" i="8"/>
  <c r="D159" i="8"/>
  <c r="G99" i="7"/>
  <c r="D95" i="7"/>
  <c r="G94" i="7"/>
  <c r="G97" i="7" l="1"/>
  <c r="AA129" i="8"/>
  <c r="AA115" i="8"/>
  <c r="AA145" i="8"/>
  <c r="AC145" i="8" s="1"/>
  <c r="AA136" i="8"/>
  <c r="AC136" i="8" s="1"/>
  <c r="J95" i="7"/>
  <c r="F94" i="7"/>
  <c r="Z148" i="8"/>
  <c r="AB148" i="8" s="1"/>
  <c r="AE148" i="8" s="1"/>
  <c r="I94" i="7"/>
  <c r="K94" i="7" s="1"/>
  <c r="C101" i="7"/>
  <c r="I101" i="7" s="1"/>
  <c r="F100" i="7"/>
  <c r="AA157" i="8"/>
  <c r="AC157" i="8" s="1"/>
  <c r="D154" i="8"/>
  <c r="D151" i="8" s="1"/>
  <c r="D148" i="8" s="1"/>
  <c r="G148" i="8" s="1"/>
  <c r="C95" i="7"/>
  <c r="C157" i="8"/>
  <c r="AB163" i="8"/>
  <c r="AD163" i="8" s="1"/>
  <c r="C159" i="8"/>
  <c r="AA160" i="8"/>
  <c r="AC160" i="8" s="1"/>
  <c r="I100" i="7"/>
  <c r="D96" i="7"/>
  <c r="G95" i="7"/>
  <c r="D144" i="8"/>
  <c r="G100" i="7"/>
  <c r="J101" i="7"/>
  <c r="J100" i="7"/>
  <c r="Z129" i="8" l="1"/>
  <c r="Z115" i="8"/>
  <c r="J96" i="7"/>
  <c r="AC129" i="8"/>
  <c r="AC115" i="8"/>
  <c r="AD148" i="8"/>
  <c r="AF148" i="8" s="1"/>
  <c r="C96" i="7"/>
  <c r="I97" i="7" s="1"/>
  <c r="Z136" i="8"/>
  <c r="AB136" i="8" s="1"/>
  <c r="AD136" i="8" s="1"/>
  <c r="Z145" i="8"/>
  <c r="AB145" i="8" s="1"/>
  <c r="AD145" i="8" s="1"/>
  <c r="Z160" i="8"/>
  <c r="AB160" i="8" s="1"/>
  <c r="AD160" i="8" s="1"/>
  <c r="K100" i="7"/>
  <c r="F95" i="7"/>
  <c r="C144" i="8"/>
  <c r="F144" i="8" s="1"/>
  <c r="K101" i="7"/>
  <c r="F159" i="8"/>
  <c r="H159" i="8"/>
  <c r="J159" i="8" s="1"/>
  <c r="J160" i="8" s="1"/>
  <c r="J161" i="8" s="1"/>
  <c r="AE163" i="8"/>
  <c r="AF163" i="8" s="1"/>
  <c r="C102" i="7"/>
  <c r="I102" i="7" s="1"/>
  <c r="F101" i="7"/>
  <c r="I95" i="7"/>
  <c r="K95" i="7" s="1"/>
  <c r="Z157" i="8"/>
  <c r="AB157" i="8" s="1"/>
  <c r="AD157" i="8" s="1"/>
  <c r="C154" i="8"/>
  <c r="C151" i="8" s="1"/>
  <c r="F157" i="8"/>
  <c r="H156" i="8"/>
  <c r="J156" i="8" s="1"/>
  <c r="J157" i="8" s="1"/>
  <c r="J158" i="8" s="1"/>
  <c r="G144" i="8"/>
  <c r="D141" i="8"/>
  <c r="D135" i="8"/>
  <c r="G101" i="7"/>
  <c r="J102" i="7"/>
  <c r="G96" i="7"/>
  <c r="J97" i="7"/>
  <c r="F96" i="7" l="1"/>
  <c r="I96" i="7"/>
  <c r="K96" i="7" s="1"/>
  <c r="AB129" i="8"/>
  <c r="AD129" i="8" s="1"/>
  <c r="AB115" i="8"/>
  <c r="AE115" i="8" s="1"/>
  <c r="K97" i="7"/>
  <c r="C147" i="8"/>
  <c r="C150" i="8" s="1"/>
  <c r="AG148" i="8"/>
  <c r="D147" i="8" s="1"/>
  <c r="D150" i="8" s="1"/>
  <c r="G150" i="8" s="1"/>
  <c r="C135" i="8"/>
  <c r="F135" i="8" s="1"/>
  <c r="C141" i="8"/>
  <c r="C138" i="8" s="1"/>
  <c r="AE136" i="8"/>
  <c r="AG136" i="8" s="1"/>
  <c r="D136" i="8" s="1"/>
  <c r="I135" i="8" s="1"/>
  <c r="K135" i="8" s="1"/>
  <c r="K136" i="8" s="1"/>
  <c r="K137" i="8" s="1"/>
  <c r="AE160" i="8"/>
  <c r="AG160" i="8" s="1"/>
  <c r="D160" i="8" s="1"/>
  <c r="C148" i="8"/>
  <c r="F148" i="8" s="1"/>
  <c r="F151" i="8"/>
  <c r="AE145" i="8"/>
  <c r="AF145" i="8" s="1"/>
  <c r="AE157" i="8"/>
  <c r="AG157" i="8" s="1"/>
  <c r="D156" i="8" s="1"/>
  <c r="K102" i="7"/>
  <c r="F154" i="8"/>
  <c r="H153" i="8"/>
  <c r="J153" i="8" s="1"/>
  <c r="J154" i="8" s="1"/>
  <c r="J155" i="8" s="1"/>
  <c r="AG163" i="8"/>
  <c r="C163" i="8"/>
  <c r="Z166" i="8"/>
  <c r="I103" i="7"/>
  <c r="F102" i="7"/>
  <c r="G135" i="8"/>
  <c r="G141" i="8"/>
  <c r="D138" i="8"/>
  <c r="G102" i="7"/>
  <c r="J103" i="7"/>
  <c r="F141" i="8" l="1"/>
  <c r="AD115" i="8"/>
  <c r="AF115" i="8" s="1"/>
  <c r="C124" i="8" s="1"/>
  <c r="H135" i="8"/>
  <c r="J135" i="8" s="1"/>
  <c r="J136" i="8" s="1"/>
  <c r="J137" i="8" s="1"/>
  <c r="I147" i="8"/>
  <c r="K147" i="8" s="1"/>
  <c r="K148" i="8" s="1"/>
  <c r="K149" i="8" s="1"/>
  <c r="G147" i="8"/>
  <c r="AE129" i="8"/>
  <c r="AF130" i="8" s="1"/>
  <c r="F147" i="8"/>
  <c r="H147" i="8"/>
  <c r="J147" i="8" s="1"/>
  <c r="J148" i="8" s="1"/>
  <c r="J149" i="8" s="1"/>
  <c r="H150" i="8"/>
  <c r="J150" i="8" s="1"/>
  <c r="J151" i="8" s="1"/>
  <c r="J152" i="8" s="1"/>
  <c r="F150" i="8"/>
  <c r="AG145" i="8"/>
  <c r="D145" i="8" s="1"/>
  <c r="C145" i="8"/>
  <c r="Q149" i="8"/>
  <c r="R149" i="8" s="1"/>
  <c r="S149" i="8" s="1"/>
  <c r="D163" i="8"/>
  <c r="Q164" i="8" s="1"/>
  <c r="AA166" i="8"/>
  <c r="AB166" i="8"/>
  <c r="C165" i="8"/>
  <c r="Q137" i="8"/>
  <c r="R137" i="8" s="1"/>
  <c r="S137" i="8" s="1"/>
  <c r="K103" i="7"/>
  <c r="F163" i="8"/>
  <c r="H162" i="8"/>
  <c r="J162" i="8" s="1"/>
  <c r="J163" i="8" s="1"/>
  <c r="J164" i="8" s="1"/>
  <c r="G138" i="8"/>
  <c r="G151" i="8"/>
  <c r="I150" i="8"/>
  <c r="Q152" i="8"/>
  <c r="G136" i="8"/>
  <c r="H138" i="8"/>
  <c r="F138" i="8"/>
  <c r="AG115" i="8" l="1"/>
  <c r="AG130" i="8"/>
  <c r="D130" i="8" s="1"/>
  <c r="C130" i="8"/>
  <c r="Q150" i="8"/>
  <c r="R150" i="8" s="1"/>
  <c r="S150" i="8" s="1"/>
  <c r="H144" i="8"/>
  <c r="F145" i="8"/>
  <c r="C142" i="8"/>
  <c r="Q146" i="8"/>
  <c r="G145" i="8"/>
  <c r="D142" i="8"/>
  <c r="I144" i="8"/>
  <c r="K144" i="8" s="1"/>
  <c r="K145" i="8" s="1"/>
  <c r="K146" i="8" s="1"/>
  <c r="Q138" i="8"/>
  <c r="Q139" i="8" s="1"/>
  <c r="R139" i="8" s="1"/>
  <c r="S139" i="8" s="1"/>
  <c r="AC166" i="8"/>
  <c r="D165" i="8"/>
  <c r="F165" i="8"/>
  <c r="H165" i="8"/>
  <c r="R164" i="8"/>
  <c r="S164" i="8" s="1"/>
  <c r="Q165" i="8"/>
  <c r="G163" i="8"/>
  <c r="I162" i="8"/>
  <c r="K162" i="8" s="1"/>
  <c r="K163" i="8" s="1"/>
  <c r="K164" i="8" s="1"/>
  <c r="K150" i="8"/>
  <c r="K151" i="8" s="1"/>
  <c r="K152" i="8" s="1"/>
  <c r="M152" i="8"/>
  <c r="M153" i="8" s="1"/>
  <c r="M154" i="8" s="1"/>
  <c r="G154" i="8"/>
  <c r="D153" i="8"/>
  <c r="R152" i="8"/>
  <c r="S152" i="8" s="1"/>
  <c r="Q153" i="8"/>
  <c r="J138" i="8"/>
  <c r="J139" i="8" s="1"/>
  <c r="J140" i="8" s="1"/>
  <c r="Q151" i="8" l="1"/>
  <c r="R151" i="8" s="1"/>
  <c r="S151" i="8" s="1"/>
  <c r="D127" i="8"/>
  <c r="G127" i="8" s="1"/>
  <c r="R138" i="8"/>
  <c r="S138" i="8" s="1"/>
  <c r="C127" i="8"/>
  <c r="C132" i="8"/>
  <c r="Q131" i="8"/>
  <c r="H129" i="8"/>
  <c r="J129" i="8" s="1"/>
  <c r="J130" i="8" s="1"/>
  <c r="J131" i="8" s="1"/>
  <c r="F130" i="8"/>
  <c r="D132" i="8"/>
  <c r="G130" i="8"/>
  <c r="I129" i="8"/>
  <c r="K129" i="8" s="1"/>
  <c r="K130" i="8" s="1"/>
  <c r="K131" i="8" s="1"/>
  <c r="G142" i="8"/>
  <c r="I141" i="8"/>
  <c r="K141" i="8" s="1"/>
  <c r="K142" i="8" s="1"/>
  <c r="K143" i="8" s="1"/>
  <c r="D139" i="8"/>
  <c r="Q147" i="8"/>
  <c r="R146" i="8"/>
  <c r="S146" i="8" s="1"/>
  <c r="F142" i="8"/>
  <c r="H141" i="8"/>
  <c r="Q143" i="8"/>
  <c r="J144" i="8"/>
  <c r="J145" i="8" s="1"/>
  <c r="J146" i="8" s="1"/>
  <c r="M149" i="8"/>
  <c r="M150" i="8" s="1"/>
  <c r="M151" i="8" s="1"/>
  <c r="J165" i="8"/>
  <c r="J166" i="8" s="1"/>
  <c r="J167" i="8" s="1"/>
  <c r="Q166" i="8"/>
  <c r="R166" i="8" s="1"/>
  <c r="S166" i="8" s="1"/>
  <c r="R165" i="8"/>
  <c r="S165" i="8" s="1"/>
  <c r="G165" i="8"/>
  <c r="AE166" i="8"/>
  <c r="AD166" i="8"/>
  <c r="G153" i="8"/>
  <c r="Q155" i="8"/>
  <c r="I153" i="8"/>
  <c r="I156" i="8"/>
  <c r="G156" i="8"/>
  <c r="Q158" i="8"/>
  <c r="Q154" i="8"/>
  <c r="R154" i="8" s="1"/>
  <c r="S154" i="8" s="1"/>
  <c r="R153" i="8"/>
  <c r="S153" i="8" s="1"/>
  <c r="G157" i="8"/>
  <c r="G160" i="8"/>
  <c r="Q125" i="8"/>
  <c r="F124" i="8"/>
  <c r="H123" i="8"/>
  <c r="I126" i="8" l="1"/>
  <c r="K126" i="8" s="1"/>
  <c r="K127" i="8" s="1"/>
  <c r="K128" i="8" s="1"/>
  <c r="Q132" i="8"/>
  <c r="R131" i="8"/>
  <c r="S131" i="8" s="1"/>
  <c r="Z133" i="8"/>
  <c r="AB133" i="8" s="1"/>
  <c r="H132" i="8"/>
  <c r="F132" i="8"/>
  <c r="H126" i="8"/>
  <c r="F127" i="8"/>
  <c r="Q128" i="8"/>
  <c r="AA133" i="8"/>
  <c r="AC133" i="8" s="1"/>
  <c r="G132" i="8"/>
  <c r="Q144" i="8"/>
  <c r="R143" i="8"/>
  <c r="S143" i="8" s="1"/>
  <c r="Q148" i="8"/>
  <c r="R148" i="8" s="1"/>
  <c r="S148" i="8" s="1"/>
  <c r="R147" i="8"/>
  <c r="S147" i="8" s="1"/>
  <c r="G139" i="8"/>
  <c r="Q140" i="8"/>
  <c r="I138" i="8"/>
  <c r="M146" i="8"/>
  <c r="M147" i="8" s="1"/>
  <c r="M148" i="8" s="1"/>
  <c r="J141" i="8"/>
  <c r="J142" i="8" s="1"/>
  <c r="J143" i="8" s="1"/>
  <c r="AG166" i="8"/>
  <c r="D166" i="8" s="1"/>
  <c r="R158" i="8"/>
  <c r="S158" i="8" s="1"/>
  <c r="Q159" i="8"/>
  <c r="K153" i="8"/>
  <c r="K154" i="8" s="1"/>
  <c r="K155" i="8" s="1"/>
  <c r="M155" i="8"/>
  <c r="M156" i="8" s="1"/>
  <c r="M157" i="8" s="1"/>
  <c r="Q156" i="8"/>
  <c r="R155" i="8"/>
  <c r="S155" i="8" s="1"/>
  <c r="K156" i="8"/>
  <c r="K157" i="8" s="1"/>
  <c r="K158" i="8" s="1"/>
  <c r="M158" i="8"/>
  <c r="G159" i="8"/>
  <c r="I159" i="8"/>
  <c r="Q161" i="8"/>
  <c r="J123" i="8"/>
  <c r="J124" i="8" s="1"/>
  <c r="J125" i="8" s="1"/>
  <c r="M125" i="8"/>
  <c r="R125" i="8"/>
  <c r="S125" i="8" s="1"/>
  <c r="Q126" i="8"/>
  <c r="AD133" i="8" l="1"/>
  <c r="M131" i="8"/>
  <c r="M132" i="8" s="1"/>
  <c r="M133" i="8" s="1"/>
  <c r="J126" i="8"/>
  <c r="J127" i="8" s="1"/>
  <c r="J128" i="8" s="1"/>
  <c r="M128" i="8"/>
  <c r="M129" i="8" s="1"/>
  <c r="M130" i="8" s="1"/>
  <c r="J132" i="8"/>
  <c r="J133" i="8" s="1"/>
  <c r="J134" i="8" s="1"/>
  <c r="AE133" i="8"/>
  <c r="Q133" i="8"/>
  <c r="R133" i="8" s="1"/>
  <c r="S133" i="8" s="1"/>
  <c r="R132" i="8"/>
  <c r="S132" i="8" s="1"/>
  <c r="Q129" i="8"/>
  <c r="R128" i="8"/>
  <c r="S128" i="8" s="1"/>
  <c r="R144" i="8"/>
  <c r="S144" i="8" s="1"/>
  <c r="Q145" i="8"/>
  <c r="R145" i="8" s="1"/>
  <c r="S145" i="8" s="1"/>
  <c r="K138" i="8"/>
  <c r="K139" i="8" s="1"/>
  <c r="K140" i="8" s="1"/>
  <c r="M140" i="8"/>
  <c r="M141" i="8" s="1"/>
  <c r="M142" i="8" s="1"/>
  <c r="Q141" i="8"/>
  <c r="R140" i="8"/>
  <c r="S140" i="8" s="1"/>
  <c r="M143" i="8"/>
  <c r="M144" i="8" s="1"/>
  <c r="M145" i="8" s="1"/>
  <c r="G166" i="8"/>
  <c r="Q167" i="8"/>
  <c r="I165" i="8"/>
  <c r="R156" i="8"/>
  <c r="S156" i="8" s="1"/>
  <c r="Q157" i="8"/>
  <c r="R157" i="8" s="1"/>
  <c r="S157" i="8" s="1"/>
  <c r="R161" i="8"/>
  <c r="S161" i="8" s="1"/>
  <c r="Q162" i="8"/>
  <c r="M162" i="8"/>
  <c r="M163" i="8" s="1"/>
  <c r="M159" i="8"/>
  <c r="M160" i="8" s="1"/>
  <c r="K159" i="8"/>
  <c r="K160" i="8" s="1"/>
  <c r="K161" i="8" s="1"/>
  <c r="M161" i="8"/>
  <c r="M165" i="8" s="1"/>
  <c r="M166" i="8" s="1"/>
  <c r="M164" i="8"/>
  <c r="R159" i="8"/>
  <c r="S159" i="8" s="1"/>
  <c r="Q160" i="8"/>
  <c r="R160" i="8" s="1"/>
  <c r="S160" i="8" s="1"/>
  <c r="R126" i="8"/>
  <c r="S126" i="8" s="1"/>
  <c r="Q127" i="8"/>
  <c r="R127" i="8" s="1"/>
  <c r="S127" i="8" s="1"/>
  <c r="M126" i="8"/>
  <c r="M127" i="8" s="1"/>
  <c r="N125" i="8"/>
  <c r="AG133" i="8" l="1"/>
  <c r="D133" i="8" s="1"/>
  <c r="G133" i="8" s="1"/>
  <c r="Q130" i="8"/>
  <c r="R130" i="8" s="1"/>
  <c r="S130" i="8" s="1"/>
  <c r="R129" i="8"/>
  <c r="S129" i="8" s="1"/>
  <c r="R141" i="8"/>
  <c r="S141" i="8" s="1"/>
  <c r="Q142" i="8"/>
  <c r="R142" i="8" s="1"/>
  <c r="S142" i="8" s="1"/>
  <c r="R167" i="8"/>
  <c r="S167" i="8" s="1"/>
  <c r="D11" i="8"/>
  <c r="K165" i="8"/>
  <c r="K166" i="8" s="1"/>
  <c r="K167" i="8" s="1"/>
  <c r="M167" i="8"/>
  <c r="R162" i="8"/>
  <c r="S162" i="8" s="1"/>
  <c r="Q163" i="8"/>
  <c r="R163" i="8" s="1"/>
  <c r="S163" i="8" s="1"/>
  <c r="N128" i="8"/>
  <c r="N126" i="8"/>
  <c r="I132" i="8" l="1"/>
  <c r="K132" i="8" s="1"/>
  <c r="K133" i="8" s="1"/>
  <c r="K134" i="8" s="1"/>
  <c r="Q134" i="8"/>
  <c r="R134" i="8" s="1"/>
  <c r="S134" i="8" s="1"/>
  <c r="D15" i="6"/>
  <c r="H11" i="8"/>
  <c r="N127" i="8"/>
  <c r="N131" i="8"/>
  <c r="N129" i="8"/>
  <c r="M137" i="8" l="1"/>
  <c r="M138" i="8" s="1"/>
  <c r="M139" i="8" s="1"/>
  <c r="M134" i="8"/>
  <c r="M135" i="8" s="1"/>
  <c r="M136" i="8" s="1"/>
  <c r="Q135" i="8"/>
  <c r="Q136" i="8" s="1"/>
  <c r="R136" i="8" s="1"/>
  <c r="S136" i="8" s="1"/>
  <c r="D87" i="6"/>
  <c r="J87" i="6" s="1"/>
  <c r="F15" i="6"/>
  <c r="N130" i="8"/>
  <c r="N132" i="8"/>
  <c r="R135" i="8" l="1"/>
  <c r="S135" i="8" s="1"/>
  <c r="N134" i="8"/>
  <c r="N135" i="8" s="1"/>
  <c r="N133" i="8"/>
  <c r="N137" i="8" l="1"/>
  <c r="N138" i="8" s="1"/>
  <c r="N136" i="8"/>
  <c r="N140" i="8" l="1"/>
  <c r="N143" i="8" s="1"/>
  <c r="N139" i="8"/>
  <c r="N141" i="8" l="1"/>
  <c r="N142" i="8" s="1"/>
  <c r="N144" i="8"/>
  <c r="N146" i="8"/>
  <c r="N147" i="8" l="1"/>
  <c r="N149" i="8"/>
  <c r="N145" i="8"/>
  <c r="N152" i="8" l="1"/>
  <c r="N150" i="8"/>
  <c r="N148" i="8"/>
  <c r="N151" i="8" l="1"/>
  <c r="N153" i="8"/>
  <c r="N155" i="8"/>
  <c r="N154" i="8" l="1"/>
  <c r="E10" i="8"/>
  <c r="N156" i="8"/>
  <c r="N158" i="8"/>
  <c r="N159" i="8" l="1"/>
  <c r="N161" i="8"/>
  <c r="N157" i="8"/>
  <c r="G10" i="8"/>
  <c r="D18" i="6" s="1"/>
  <c r="F18" i="6" l="1"/>
  <c r="D84" i="6"/>
  <c r="J84" i="6" s="1"/>
  <c r="N162" i="8"/>
  <c r="N164" i="8"/>
  <c r="N160" i="8"/>
  <c r="N165" i="8" l="1"/>
  <c r="N167" i="8"/>
  <c r="E11" i="8" s="1"/>
  <c r="D26" i="6" s="1"/>
  <c r="F26" i="6" s="1"/>
  <c r="N163" i="8"/>
  <c r="U160" i="8" l="1"/>
  <c r="V160" i="8" s="1"/>
  <c r="U162" i="8"/>
  <c r="T162" i="8" s="1"/>
  <c r="U163" i="8"/>
  <c r="V163" i="8" s="1"/>
  <c r="U167" i="8"/>
  <c r="N166" i="8"/>
  <c r="U166" i="8" s="1"/>
  <c r="U165" i="8"/>
  <c r="U122" i="8"/>
  <c r="U121" i="8"/>
  <c r="G11" i="8"/>
  <c r="D19" i="6" s="1"/>
  <c r="U120" i="8"/>
  <c r="I11" i="8"/>
  <c r="U124" i="8"/>
  <c r="U123" i="8"/>
  <c r="U125" i="8"/>
  <c r="U126" i="8"/>
  <c r="U128" i="8"/>
  <c r="U129" i="8"/>
  <c r="U127" i="8"/>
  <c r="U131" i="8"/>
  <c r="U132" i="8"/>
  <c r="U134" i="8"/>
  <c r="U130" i="8"/>
  <c r="U137" i="8"/>
  <c r="U135" i="8"/>
  <c r="U133" i="8"/>
  <c r="U136" i="8"/>
  <c r="U140" i="8"/>
  <c r="U138" i="8"/>
  <c r="U139" i="8"/>
  <c r="U141" i="8"/>
  <c r="U143" i="8"/>
  <c r="U146" i="8"/>
  <c r="U142" i="8"/>
  <c r="U144" i="8"/>
  <c r="U145" i="8"/>
  <c r="U149" i="8"/>
  <c r="U147" i="8"/>
  <c r="U148" i="8"/>
  <c r="U150" i="8"/>
  <c r="U152" i="8"/>
  <c r="U153" i="8"/>
  <c r="U151" i="8"/>
  <c r="U155" i="8"/>
  <c r="U158" i="8"/>
  <c r="U156" i="8"/>
  <c r="D10" i="8"/>
  <c r="U154" i="8"/>
  <c r="U157" i="8"/>
  <c r="U161" i="8"/>
  <c r="U159" i="8"/>
  <c r="U164" i="8"/>
  <c r="T163" i="8" l="1"/>
  <c r="V162" i="8"/>
  <c r="J11" i="8"/>
  <c r="E35" i="6" s="1"/>
  <c r="T160" i="8"/>
  <c r="V165" i="8"/>
  <c r="T165" i="8"/>
  <c r="V166" i="8"/>
  <c r="T166" i="8"/>
  <c r="T167" i="8"/>
  <c r="V167" i="8"/>
  <c r="V132" i="8"/>
  <c r="T132" i="8"/>
  <c r="V124" i="8"/>
  <c r="T124" i="8"/>
  <c r="V138" i="8"/>
  <c r="T138" i="8"/>
  <c r="T127" i="8"/>
  <c r="V127" i="8"/>
  <c r="T161" i="8"/>
  <c r="V161" i="8"/>
  <c r="D88" i="6"/>
  <c r="J88" i="6" s="1"/>
  <c r="F19" i="6"/>
  <c r="T158" i="8"/>
  <c r="V158" i="8"/>
  <c r="T140" i="8"/>
  <c r="V140" i="8"/>
  <c r="V120" i="8"/>
  <c r="T120" i="8"/>
  <c r="T152" i="8"/>
  <c r="V152" i="8"/>
  <c r="V128" i="8"/>
  <c r="T128" i="8"/>
  <c r="V121" i="8"/>
  <c r="T121" i="8"/>
  <c r="V131" i="8"/>
  <c r="T131" i="8"/>
  <c r="T144" i="8"/>
  <c r="V144" i="8"/>
  <c r="T142" i="8"/>
  <c r="V142" i="8"/>
  <c r="V157" i="8"/>
  <c r="T157" i="8"/>
  <c r="T164" i="8"/>
  <c r="V164" i="8"/>
  <c r="T143" i="8"/>
  <c r="V143" i="8"/>
  <c r="V137" i="8"/>
  <c r="T137" i="8"/>
  <c r="T126" i="8"/>
  <c r="V126" i="8"/>
  <c r="V122" i="8"/>
  <c r="T122" i="8"/>
  <c r="V149" i="8"/>
  <c r="T149" i="8"/>
  <c r="I48" i="6" s="1"/>
  <c r="T145" i="8"/>
  <c r="V145" i="8"/>
  <c r="T151" i="8"/>
  <c r="V151" i="8"/>
  <c r="V153" i="8"/>
  <c r="T153" i="8"/>
  <c r="V133" i="8"/>
  <c r="T133" i="8"/>
  <c r="V146" i="8"/>
  <c r="T146" i="8"/>
  <c r="V154" i="8"/>
  <c r="T154" i="8"/>
  <c r="H10" i="8"/>
  <c r="D14" i="6"/>
  <c r="V148" i="8"/>
  <c r="T148" i="8"/>
  <c r="T141" i="8"/>
  <c r="V141" i="8"/>
  <c r="T130" i="8"/>
  <c r="V130" i="8"/>
  <c r="V125" i="8"/>
  <c r="T125" i="8"/>
  <c r="T155" i="8"/>
  <c r="V155" i="8"/>
  <c r="T159" i="8"/>
  <c r="V159" i="8"/>
  <c r="T136" i="8"/>
  <c r="V136" i="8"/>
  <c r="V129" i="8"/>
  <c r="T129" i="8"/>
  <c r="T135" i="8"/>
  <c r="V135" i="8"/>
  <c r="V150" i="8"/>
  <c r="T150" i="8"/>
  <c r="T156" i="8"/>
  <c r="V156" i="8"/>
  <c r="V147" i="8"/>
  <c r="T147" i="8"/>
  <c r="T139" i="8"/>
  <c r="V139" i="8"/>
  <c r="T134" i="8"/>
  <c r="I42" i="6" s="1"/>
  <c r="V134" i="8"/>
  <c r="T123" i="8"/>
  <c r="V123" i="8"/>
  <c r="M28" i="6" l="1"/>
  <c r="F14" i="6"/>
  <c r="D83" i="6"/>
  <c r="J83" i="6" l="1"/>
  <c r="D86" i="6"/>
  <c r="J86" i="6" s="1"/>
</calcChain>
</file>

<file path=xl/sharedStrings.xml><?xml version="1.0" encoding="utf-8"?>
<sst xmlns="http://schemas.openxmlformats.org/spreadsheetml/2006/main" count="313" uniqueCount="132">
  <si>
    <t>=</t>
  </si>
  <si>
    <t>L</t>
  </si>
  <si>
    <t>cu.ft.</t>
  </si>
  <si>
    <t>x</t>
  </si>
  <si>
    <t>y</t>
  </si>
  <si>
    <t>dX</t>
  </si>
  <si>
    <t>dY</t>
  </si>
  <si>
    <t>p</t>
  </si>
  <si>
    <t>Panels</t>
  </si>
  <si>
    <t>#</t>
  </si>
  <si>
    <t>(sides)</t>
  </si>
  <si>
    <t>(top, bottom)</t>
  </si>
  <si>
    <t>(back)</t>
  </si>
  <si>
    <t>2nd inside</t>
  </si>
  <si>
    <t>3rd inside</t>
  </si>
  <si>
    <t>4th inside</t>
  </si>
  <si>
    <t>Thickness</t>
  </si>
  <si>
    <t>x (cm)</t>
  </si>
  <si>
    <t>y (cm)</t>
  </si>
  <si>
    <t>d</t>
  </si>
  <si>
    <t>S1</t>
  </si>
  <si>
    <t>S4</t>
  </si>
  <si>
    <t>l.</t>
  </si>
  <si>
    <t>cm.</t>
  </si>
  <si>
    <t>Vol. (net)</t>
  </si>
  <si>
    <t>Vol. (gross)</t>
  </si>
  <si>
    <t>cm^2</t>
  </si>
  <si>
    <t>Panel</t>
  </si>
  <si>
    <t>l</t>
  </si>
  <si>
    <t>1st inside</t>
  </si>
  <si>
    <t>Advanced Centerline</t>
  </si>
  <si>
    <t>Driver</t>
  </si>
  <si>
    <t>cm</t>
  </si>
  <si>
    <t>L12</t>
  </si>
  <si>
    <t>Frame Width</t>
  </si>
  <si>
    <t>Magnet Width</t>
  </si>
  <si>
    <t>Magnet Height</t>
  </si>
  <si>
    <t>Plot</t>
  </si>
  <si>
    <t>Delta</t>
  </si>
  <si>
    <t>Mounting Width</t>
  </si>
  <si>
    <t>Panel A</t>
  </si>
  <si>
    <t>Panel C</t>
  </si>
  <si>
    <t>Panel D</t>
  </si>
  <si>
    <t>Panel G</t>
  </si>
  <si>
    <t>Panel H</t>
  </si>
  <si>
    <t>Panel I</t>
  </si>
  <si>
    <t>Mounting Depth</t>
  </si>
  <si>
    <t>v</t>
  </si>
  <si>
    <t>(front)</t>
  </si>
  <si>
    <t>Panel E</t>
  </si>
  <si>
    <t>Cos</t>
  </si>
  <si>
    <t>Sin</t>
  </si>
  <si>
    <t>Path Calculations</t>
  </si>
  <si>
    <t>dS</t>
  </si>
  <si>
    <t>tan</t>
  </si>
  <si>
    <t>S2</t>
  </si>
  <si>
    <t>dx</t>
  </si>
  <si>
    <t>dy</t>
  </si>
  <si>
    <t>S</t>
  </si>
  <si>
    <t>Pnl Vol</t>
  </si>
  <si>
    <t>L (actual)</t>
  </si>
  <si>
    <t>d (external)</t>
  </si>
  <si>
    <t>h (external)</t>
  </si>
  <si>
    <t>w (external)</t>
  </si>
  <si>
    <t>w (internal)</t>
  </si>
  <si>
    <t>Panel B (center)</t>
  </si>
  <si>
    <t>(center)</t>
  </si>
  <si>
    <t>Version</t>
  </si>
  <si>
    <t>in</t>
  </si>
  <si>
    <t>in^2</t>
  </si>
  <si>
    <t>Horizontal Axis</t>
  </si>
  <si>
    <t>Vertical Axis</t>
  </si>
  <si>
    <t>Expansion 1</t>
  </si>
  <si>
    <t>Expansion 2</t>
  </si>
  <si>
    <t>Vertical Divider</t>
  </si>
  <si>
    <t>Panel F (baffle)</t>
  </si>
  <si>
    <t>Sample points</t>
  </si>
  <si>
    <t>S3</t>
  </si>
  <si>
    <t>W</t>
  </si>
  <si>
    <t>S5</t>
  </si>
  <si>
    <t>Internal Width</t>
  </si>
  <si>
    <t>p (cm)</t>
  </si>
  <si>
    <t>Horn Parameters</t>
  </si>
  <si>
    <t>L23</t>
  </si>
  <si>
    <t>L34</t>
  </si>
  <si>
    <t>L45</t>
  </si>
  <si>
    <t>S1 (csa)</t>
  </si>
  <si>
    <t>S1 (l)</t>
  </si>
  <si>
    <t>S3 (l)</t>
  </si>
  <si>
    <t>Err</t>
  </si>
  <si>
    <t>Error</t>
  </si>
  <si>
    <t>Filename</t>
  </si>
  <si>
    <t>I:\Users\Brian.Steele\OneDrive\Hornresp\Import\BOXPLAN.TXT</t>
  </si>
  <si>
    <t>ID</t>
  </si>
  <si>
    <t>29.00</t>
  </si>
  <si>
    <t>Ang</t>
  </si>
  <si>
    <t>2.0 x PI</t>
  </si>
  <si>
    <t>Eg</t>
  </si>
  <si>
    <t>Rg</t>
  </si>
  <si>
    <t>Fta</t>
  </si>
  <si>
    <t>Par</t>
  </si>
  <si>
    <t>F12</t>
  </si>
  <si>
    <t>F23</t>
  </si>
  <si>
    <t>F34</t>
  </si>
  <si>
    <t>F45</t>
  </si>
  <si>
    <t>Sd</t>
  </si>
  <si>
    <t>Bl</t>
  </si>
  <si>
    <t>Cms</t>
  </si>
  <si>
    <t>Rms</t>
  </si>
  <si>
    <t>Mmd</t>
  </si>
  <si>
    <t>Le</t>
  </si>
  <si>
    <t>Re</t>
  </si>
  <si>
    <t>TH</t>
  </si>
  <si>
    <t>Vrc</t>
  </si>
  <si>
    <t>Lrc</t>
  </si>
  <si>
    <t>Ap1</t>
  </si>
  <si>
    <t>Lp</t>
  </si>
  <si>
    <t>Vtc</t>
  </si>
  <si>
    <t>Atc</t>
  </si>
  <si>
    <t>Pmax</t>
  </si>
  <si>
    <t>Xmax</t>
  </si>
  <si>
    <t>Comment</t>
  </si>
  <si>
    <t>Cone Volume</t>
  </si>
  <si>
    <t>cm^3</t>
  </si>
  <si>
    <t>Cone Vol. Adj. (S2)</t>
  </si>
  <si>
    <t>Cone Area Adj. (S2)</t>
  </si>
  <si>
    <t>Panel J</t>
  </si>
  <si>
    <t>Panel K</t>
  </si>
  <si>
    <t>Expansion</t>
  </si>
  <si>
    <t>Tan</t>
  </si>
  <si>
    <t>1/2</t>
  </si>
  <si>
    <t>BOXPLAN-CYCLOPS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</si>
</sst>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"/>
  </numFmts>
  <fonts count="1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164" fontId="2" fillId="0" borderId="3" xfId="0" applyNumberFormat="1" applyFont="1" applyFill="1" applyBorder="1"/>
    <xf numFmtId="0" fontId="2" fillId="4" borderId="9" xfId="0" applyFont="1" applyFill="1" applyBorder="1"/>
    <xf numFmtId="0" fontId="2" fillId="4" borderId="0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164" fontId="6" fillId="0" borderId="3" xfId="0" applyNumberFormat="1" applyFont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0" borderId="3" xfId="0" applyFont="1" applyBorder="1"/>
    <xf numFmtId="0" fontId="4" fillId="3" borderId="5" xfId="0" applyFont="1" applyFill="1" applyBorder="1"/>
    <xf numFmtId="0" fontId="5" fillId="3" borderId="6" xfId="0" applyFont="1" applyFill="1" applyBorder="1"/>
    <xf numFmtId="164" fontId="5" fillId="3" borderId="6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/>
    <xf numFmtId="0" fontId="5" fillId="3" borderId="6" xfId="0" applyFont="1" applyFill="1" applyBorder="1" applyAlignment="1">
      <alignment horizontal="center"/>
    </xf>
    <xf numFmtId="164" fontId="5" fillId="3" borderId="7" xfId="0" applyNumberFormat="1" applyFont="1" applyFill="1" applyBorder="1" applyAlignment="1"/>
    <xf numFmtId="0" fontId="4" fillId="2" borderId="8" xfId="0" applyFont="1" applyFill="1" applyBorder="1" applyAlignment="1">
      <alignment horizontal="center"/>
    </xf>
    <xf numFmtId="0" fontId="5" fillId="3" borderId="9" xfId="0" applyFont="1" applyFill="1" applyBorder="1"/>
    <xf numFmtId="0" fontId="5" fillId="3" borderId="0" xfId="0" applyFont="1" applyFill="1" applyBorder="1"/>
    <xf numFmtId="164" fontId="5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/>
    <xf numFmtId="0" fontId="5" fillId="3" borderId="0" xfId="0" applyFont="1" applyFill="1" applyBorder="1" applyAlignment="1">
      <alignment horizontal="center"/>
    </xf>
    <xf numFmtId="164" fontId="5" fillId="3" borderId="10" xfId="0" applyNumberFormat="1" applyFont="1" applyFill="1" applyBorder="1" applyAlignment="1"/>
    <xf numFmtId="0" fontId="4" fillId="0" borderId="11" xfId="0" applyFont="1" applyBorder="1"/>
    <xf numFmtId="0" fontId="4" fillId="0" borderId="12" xfId="0" applyFont="1" applyBorder="1"/>
    <xf numFmtId="164" fontId="6" fillId="0" borderId="13" xfId="0" applyNumberFormat="1" applyFont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5" fillId="3" borderId="17" xfId="0" applyFont="1" applyFill="1" applyBorder="1"/>
    <xf numFmtId="0" fontId="5" fillId="3" borderId="18" xfId="0" applyFont="1" applyFill="1" applyBorder="1"/>
    <xf numFmtId="164" fontId="5" fillId="3" borderId="18" xfId="0" applyNumberFormat="1" applyFont="1" applyFill="1" applyBorder="1" applyAlignment="1">
      <alignment horizontal="center"/>
    </xf>
    <xf numFmtId="164" fontId="5" fillId="3" borderId="18" xfId="0" applyNumberFormat="1" applyFont="1" applyFill="1" applyBorder="1" applyAlignment="1"/>
    <xf numFmtId="0" fontId="5" fillId="3" borderId="19" xfId="0" applyFont="1" applyFill="1" applyBorder="1"/>
    <xf numFmtId="164" fontId="4" fillId="0" borderId="3" xfId="0" applyNumberFormat="1" applyFont="1" applyBorder="1"/>
    <xf numFmtId="0" fontId="4" fillId="2" borderId="20" xfId="0" applyFont="1" applyFill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164" fontId="6" fillId="0" borderId="16" xfId="0" applyNumberFormat="1" applyFont="1" applyBorder="1"/>
    <xf numFmtId="0" fontId="5" fillId="0" borderId="2" xfId="0" applyFont="1" applyBorder="1"/>
    <xf numFmtId="0" fontId="5" fillId="0" borderId="0" xfId="0" applyFont="1" applyBorder="1"/>
    <xf numFmtId="0" fontId="4" fillId="0" borderId="1" xfId="0" applyFont="1" applyFill="1" applyBorder="1"/>
    <xf numFmtId="0" fontId="4" fillId="0" borderId="2" xfId="0" applyFont="1" applyFill="1" applyBorder="1"/>
    <xf numFmtId="164" fontId="4" fillId="0" borderId="3" xfId="0" applyNumberFormat="1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1" fontId="4" fillId="4" borderId="6" xfId="0" applyNumberFormat="1" applyFont="1" applyFill="1" applyBorder="1"/>
    <xf numFmtId="0" fontId="8" fillId="4" borderId="6" xfId="0" applyFont="1" applyFill="1" applyBorder="1"/>
    <xf numFmtId="2" fontId="4" fillId="4" borderId="6" xfId="0" applyNumberFormat="1" applyFont="1" applyFill="1" applyBorder="1"/>
    <xf numFmtId="0" fontId="5" fillId="4" borderId="6" xfId="0" applyFont="1" applyFill="1" applyBorder="1"/>
    <xf numFmtId="0" fontId="5" fillId="4" borderId="7" xfId="0" applyFont="1" applyFill="1" applyBorder="1"/>
    <xf numFmtId="0" fontId="4" fillId="4" borderId="9" xfId="0" applyFont="1" applyFill="1" applyBorder="1"/>
    <xf numFmtId="0" fontId="4" fillId="4" borderId="0" xfId="0" applyFont="1" applyFill="1" applyBorder="1"/>
    <xf numFmtId="1" fontId="4" fillId="4" borderId="0" xfId="0" applyNumberFormat="1" applyFont="1" applyFill="1" applyBorder="1"/>
    <xf numFmtId="0" fontId="8" fillId="4" borderId="0" xfId="0" applyFont="1" applyFill="1" applyBorder="1"/>
    <xf numFmtId="2" fontId="4" fillId="4" borderId="0" xfId="0" applyNumberFormat="1" applyFont="1" applyFill="1" applyBorder="1"/>
    <xf numFmtId="0" fontId="5" fillId="4" borderId="0" xfId="0" applyFont="1" applyFill="1" applyBorder="1"/>
    <xf numFmtId="0" fontId="5" fillId="4" borderId="10" xfId="0" applyFont="1" applyFill="1" applyBorder="1"/>
    <xf numFmtId="0" fontId="5" fillId="4" borderId="9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10" xfId="0" applyFont="1" applyFill="1" applyBorder="1"/>
    <xf numFmtId="164" fontId="4" fillId="4" borderId="0" xfId="0" applyNumberFormat="1" applyFont="1" applyFill="1" applyBorder="1" applyAlignment="1">
      <alignment horizontal="center"/>
    </xf>
    <xf numFmtId="164" fontId="8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164" fontId="8" fillId="4" borderId="0" xfId="0" applyNumberFormat="1" applyFont="1" applyFill="1" applyBorder="1"/>
    <xf numFmtId="0" fontId="8" fillId="4" borderId="10" xfId="0" applyFont="1" applyFill="1" applyBorder="1"/>
    <xf numFmtId="0" fontId="5" fillId="3" borderId="18" xfId="0" applyFont="1" applyFill="1" applyBorder="1" applyAlignment="1">
      <alignment horizontal="center"/>
    </xf>
    <xf numFmtId="0" fontId="4" fillId="4" borderId="17" xfId="0" applyFont="1" applyFill="1" applyBorder="1"/>
    <xf numFmtId="0" fontId="5" fillId="4" borderId="18" xfId="0" applyFont="1" applyFill="1" applyBorder="1"/>
    <xf numFmtId="164" fontId="4" fillId="4" borderId="18" xfId="0" applyNumberFormat="1" applyFont="1" applyFill="1" applyBorder="1" applyAlignment="1">
      <alignment horizontal="center"/>
    </xf>
    <xf numFmtId="0" fontId="4" fillId="4" borderId="18" xfId="0" applyFont="1" applyFill="1" applyBorder="1"/>
    <xf numFmtId="164" fontId="4" fillId="4" borderId="18" xfId="0" applyNumberFormat="1" applyFont="1" applyFill="1" applyBorder="1"/>
    <xf numFmtId="0" fontId="5" fillId="4" borderId="19" xfId="0" applyFont="1" applyFill="1" applyBorder="1"/>
    <xf numFmtId="0" fontId="4" fillId="5" borderId="5" xfId="0" applyFont="1" applyFill="1" applyBorder="1"/>
    <xf numFmtId="0" fontId="5" fillId="5" borderId="6" xfId="0" applyFont="1" applyFill="1" applyBorder="1"/>
    <xf numFmtId="164" fontId="5" fillId="5" borderId="6" xfId="0" applyNumberFormat="1" applyFont="1" applyFill="1" applyBorder="1" applyAlignment="1"/>
    <xf numFmtId="0" fontId="5" fillId="5" borderId="6" xfId="0" applyFont="1" applyFill="1" applyBorder="1" applyAlignment="1">
      <alignment horizontal="center"/>
    </xf>
    <xf numFmtId="164" fontId="5" fillId="5" borderId="6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/>
    <xf numFmtId="0" fontId="5" fillId="5" borderId="9" xfId="0" applyFont="1" applyFill="1" applyBorder="1"/>
    <xf numFmtId="0" fontId="5" fillId="5" borderId="0" xfId="0" applyFont="1" applyFill="1" applyBorder="1"/>
    <xf numFmtId="164" fontId="5" fillId="5" borderId="0" xfId="0" applyNumberFormat="1" applyFont="1" applyFill="1" applyBorder="1"/>
    <xf numFmtId="164" fontId="5" fillId="5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164" fontId="5" fillId="5" borderId="0" xfId="0" applyNumberFormat="1" applyFont="1" applyFill="1" applyBorder="1" applyAlignment="1"/>
    <xf numFmtId="164" fontId="5" fillId="5" borderId="10" xfId="0" applyNumberFormat="1" applyFont="1" applyFill="1" applyBorder="1" applyAlignment="1"/>
    <xf numFmtId="0" fontId="5" fillId="5" borderId="17" xfId="0" applyFont="1" applyFill="1" applyBorder="1"/>
    <xf numFmtId="0" fontId="5" fillId="5" borderId="18" xfId="0" applyFont="1" applyFill="1" applyBorder="1"/>
    <xf numFmtId="164" fontId="5" fillId="5" borderId="18" xfId="0" applyNumberFormat="1" applyFont="1" applyFill="1" applyBorder="1"/>
    <xf numFmtId="164" fontId="5" fillId="5" borderId="18" xfId="0" applyNumberFormat="1" applyFont="1" applyFill="1" applyBorder="1" applyAlignment="1">
      <alignment horizontal="center"/>
    </xf>
    <xf numFmtId="164" fontId="5" fillId="5" borderId="18" xfId="0" applyNumberFormat="1" applyFont="1" applyFill="1" applyBorder="1" applyAlignment="1"/>
    <xf numFmtId="0" fontId="5" fillId="5" borderId="19" xfId="0" applyFont="1" applyFill="1" applyBorder="1"/>
    <xf numFmtId="0" fontId="8" fillId="0" borderId="0" xfId="0" applyFont="1"/>
    <xf numFmtId="164" fontId="5" fillId="0" borderId="0" xfId="0" applyNumberFormat="1" applyFont="1"/>
    <xf numFmtId="0" fontId="8" fillId="5" borderId="6" xfId="0" applyFont="1" applyFill="1" applyBorder="1"/>
    <xf numFmtId="164" fontId="8" fillId="5" borderId="6" xfId="0" applyNumberFormat="1" applyFont="1" applyFill="1" applyBorder="1" applyAlignment="1"/>
    <xf numFmtId="0" fontId="8" fillId="5" borderId="6" xfId="0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/>
    <xf numFmtId="0" fontId="8" fillId="5" borderId="9" xfId="0" applyFont="1" applyFill="1" applyBorder="1"/>
    <xf numFmtId="0" fontId="8" fillId="5" borderId="0" xfId="0" applyFont="1" applyFill="1" applyBorder="1"/>
    <xf numFmtId="164" fontId="8" fillId="5" borderId="0" xfId="0" applyNumberFormat="1" applyFont="1" applyFill="1" applyBorder="1" applyAlignment="1"/>
    <xf numFmtId="0" fontId="8" fillId="5" borderId="0" xfId="0" applyFont="1" applyFill="1" applyBorder="1" applyAlignment="1">
      <alignment horizontal="center"/>
    </xf>
    <xf numFmtId="164" fontId="8" fillId="5" borderId="0" xfId="0" applyNumberFormat="1" applyFont="1" applyFill="1" applyBorder="1" applyAlignment="1">
      <alignment horizontal="center"/>
    </xf>
    <xf numFmtId="164" fontId="8" fillId="5" borderId="10" xfId="0" applyNumberFormat="1" applyFont="1" applyFill="1" applyBorder="1" applyAlignment="1"/>
    <xf numFmtId="0" fontId="8" fillId="5" borderId="17" xfId="0" applyFont="1" applyFill="1" applyBorder="1"/>
    <xf numFmtId="0" fontId="8" fillId="5" borderId="18" xfId="0" applyFont="1" applyFill="1" applyBorder="1"/>
    <xf numFmtId="164" fontId="8" fillId="5" borderId="18" xfId="0" applyNumberFormat="1" applyFont="1" applyFill="1" applyBorder="1"/>
    <xf numFmtId="164" fontId="8" fillId="5" borderId="18" xfId="0" applyNumberFormat="1" applyFont="1" applyFill="1" applyBorder="1" applyAlignment="1">
      <alignment horizontal="center"/>
    </xf>
    <xf numFmtId="164" fontId="8" fillId="5" borderId="18" xfId="0" applyNumberFormat="1" applyFont="1" applyFill="1" applyBorder="1" applyAlignment="1"/>
    <xf numFmtId="0" fontId="8" fillId="5" borderId="19" xfId="0" applyFont="1" applyFill="1" applyBorder="1"/>
    <xf numFmtId="1" fontId="4" fillId="0" borderId="0" xfId="0" applyNumberFormat="1" applyFont="1"/>
    <xf numFmtId="164" fontId="4" fillId="0" borderId="0" xfId="0" applyNumberFormat="1" applyFont="1"/>
    <xf numFmtId="164" fontId="4" fillId="0" borderId="24" xfId="0" applyNumberFormat="1" applyFont="1" applyBorder="1"/>
    <xf numFmtId="0" fontId="4" fillId="9" borderId="5" xfId="0" applyFont="1" applyFill="1" applyBorder="1"/>
    <xf numFmtId="0" fontId="8" fillId="9" borderId="6" xfId="0" applyFont="1" applyFill="1" applyBorder="1"/>
    <xf numFmtId="164" fontId="8" fillId="9" borderId="6" xfId="0" applyNumberFormat="1" applyFont="1" applyFill="1" applyBorder="1" applyAlignment="1"/>
    <xf numFmtId="0" fontId="8" fillId="9" borderId="6" xfId="0" applyFont="1" applyFill="1" applyBorder="1" applyAlignment="1">
      <alignment horizontal="center"/>
    </xf>
    <xf numFmtId="164" fontId="8" fillId="9" borderId="6" xfId="0" applyNumberFormat="1" applyFont="1" applyFill="1" applyBorder="1" applyAlignment="1">
      <alignment horizontal="center"/>
    </xf>
    <xf numFmtId="164" fontId="8" fillId="9" borderId="7" xfId="0" applyNumberFormat="1" applyFont="1" applyFill="1" applyBorder="1" applyAlignment="1"/>
    <xf numFmtId="0" fontId="8" fillId="9" borderId="17" xfId="0" applyFont="1" applyFill="1" applyBorder="1"/>
    <xf numFmtId="0" fontId="8" fillId="9" borderId="18" xfId="0" applyFont="1" applyFill="1" applyBorder="1"/>
    <xf numFmtId="164" fontId="8" fillId="9" borderId="18" xfId="0" applyNumberFormat="1" applyFont="1" applyFill="1" applyBorder="1"/>
    <xf numFmtId="164" fontId="8" fillId="9" borderId="18" xfId="0" applyNumberFormat="1" applyFont="1" applyFill="1" applyBorder="1" applyAlignment="1">
      <alignment horizontal="center"/>
    </xf>
    <xf numFmtId="164" fontId="8" fillId="9" borderId="18" xfId="0" applyNumberFormat="1" applyFont="1" applyFill="1" applyBorder="1" applyAlignment="1"/>
    <xf numFmtId="0" fontId="8" fillId="9" borderId="19" xfId="0" applyFont="1" applyFill="1" applyBorder="1"/>
    <xf numFmtId="2" fontId="4" fillId="0" borderId="24" xfId="0" applyNumberFormat="1" applyFont="1" applyBorder="1"/>
    <xf numFmtId="0" fontId="0" fillId="0" borderId="0" xfId="0" applyAlignment="1">
      <alignment horizontal="center"/>
    </xf>
    <xf numFmtId="164" fontId="5" fillId="3" borderId="6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3" borderId="18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2" fontId="8" fillId="0" borderId="0" xfId="0" applyNumberFormat="1" applyFont="1"/>
    <xf numFmtId="165" fontId="8" fillId="0" borderId="0" xfId="0" applyNumberFormat="1" applyFont="1"/>
    <xf numFmtId="164" fontId="8" fillId="6" borderId="5" xfId="0" applyNumberFormat="1" applyFont="1" applyFill="1" applyBorder="1"/>
    <xf numFmtId="164" fontId="8" fillId="6" borderId="6" xfId="0" applyNumberFormat="1" applyFont="1" applyFill="1" applyBorder="1"/>
    <xf numFmtId="0" fontId="8" fillId="6" borderId="6" xfId="0" applyFont="1" applyFill="1" applyBorder="1"/>
    <xf numFmtId="0" fontId="8" fillId="6" borderId="7" xfId="0" applyFont="1" applyFill="1" applyBorder="1"/>
    <xf numFmtId="164" fontId="8" fillId="6" borderId="9" xfId="0" applyNumberFormat="1" applyFont="1" applyFill="1" applyBorder="1"/>
    <xf numFmtId="164" fontId="8" fillId="6" borderId="0" xfId="0" applyNumberFormat="1" applyFont="1" applyFill="1" applyBorder="1"/>
    <xf numFmtId="0" fontId="8" fillId="6" borderId="0" xfId="0" applyFont="1" applyFill="1" applyBorder="1"/>
    <xf numFmtId="0" fontId="8" fillId="6" borderId="10" xfId="0" applyFont="1" applyFill="1" applyBorder="1"/>
    <xf numFmtId="0" fontId="8" fillId="6" borderId="17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164" fontId="8" fillId="6" borderId="18" xfId="0" applyNumberFormat="1" applyFont="1" applyFill="1" applyBorder="1" applyAlignment="1">
      <alignment horizontal="center"/>
    </xf>
    <xf numFmtId="164" fontId="8" fillId="6" borderId="18" xfId="0" applyNumberFormat="1" applyFont="1" applyFill="1" applyBorder="1"/>
    <xf numFmtId="1" fontId="8" fillId="6" borderId="18" xfId="0" applyNumberFormat="1" applyFont="1" applyFill="1" applyBorder="1"/>
    <xf numFmtId="1" fontId="8" fillId="6" borderId="19" xfId="0" applyNumberFormat="1" applyFont="1" applyFill="1" applyBorder="1"/>
    <xf numFmtId="1" fontId="8" fillId="0" borderId="0" xfId="0" applyNumberFormat="1" applyFont="1"/>
    <xf numFmtId="1" fontId="8" fillId="6" borderId="7" xfId="0" applyNumberFormat="1" applyFont="1" applyFill="1" applyBorder="1"/>
    <xf numFmtId="1" fontId="8" fillId="6" borderId="10" xfId="0" applyNumberFormat="1" applyFont="1" applyFill="1" applyBorder="1"/>
    <xf numFmtId="0" fontId="8" fillId="6" borderId="17" xfId="0" applyFont="1" applyFill="1" applyBorder="1"/>
    <xf numFmtId="0" fontId="8" fillId="6" borderId="18" xfId="0" applyFont="1" applyFill="1" applyBorder="1"/>
    <xf numFmtId="1" fontId="8" fillId="6" borderId="6" xfId="0" applyNumberFormat="1" applyFont="1" applyFill="1" applyBorder="1"/>
    <xf numFmtId="1" fontId="8" fillId="6" borderId="0" xfId="0" applyNumberFormat="1" applyFont="1" applyFill="1" applyBorder="1"/>
    <xf numFmtId="0" fontId="8" fillId="6" borderId="9" xfId="0" applyFont="1" applyFill="1" applyBorder="1"/>
    <xf numFmtId="0" fontId="8" fillId="6" borderId="0" xfId="0" applyFont="1" applyFill="1" applyBorder="1" applyAlignment="1">
      <alignment horizontal="center"/>
    </xf>
    <xf numFmtId="164" fontId="8" fillId="6" borderId="0" xfId="0" applyNumberFormat="1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164" fontId="8" fillId="6" borderId="0" xfId="0" applyNumberFormat="1" applyFont="1" applyFill="1" applyBorder="1" applyAlignment="1"/>
    <xf numFmtId="164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2" fillId="6" borderId="0" xfId="0" applyFont="1" applyFill="1" applyBorder="1" applyAlignment="1">
      <alignment horizontal="center"/>
    </xf>
    <xf numFmtId="164" fontId="4" fillId="4" borderId="0" xfId="0" applyNumberFormat="1" applyFont="1" applyFill="1" applyBorder="1"/>
    <xf numFmtId="1" fontId="8" fillId="8" borderId="0" xfId="0" applyNumberFormat="1" applyFont="1" applyFill="1"/>
    <xf numFmtId="164" fontId="8" fillId="8" borderId="0" xfId="0" applyNumberFormat="1" applyFont="1" applyFill="1"/>
    <xf numFmtId="0" fontId="8" fillId="10" borderId="0" xfId="0" applyFont="1" applyFill="1"/>
    <xf numFmtId="1" fontId="8" fillId="10" borderId="0" xfId="0" applyNumberFormat="1" applyFont="1" applyFill="1"/>
    <xf numFmtId="164" fontId="8" fillId="10" borderId="0" xfId="0" applyNumberFormat="1" applyFont="1" applyFill="1"/>
    <xf numFmtId="164" fontId="9" fillId="7" borderId="24" xfId="0" applyNumberFormat="1" applyFont="1" applyFill="1" applyBorder="1"/>
    <xf numFmtId="164" fontId="5" fillId="4" borderId="24" xfId="0" applyNumberFormat="1" applyFont="1" applyFill="1" applyBorder="1"/>
    <xf numFmtId="0" fontId="3" fillId="11" borderId="25" xfId="0" applyFont="1" applyFill="1" applyBorder="1"/>
    <xf numFmtId="0" fontId="3" fillId="11" borderId="23" xfId="0" applyFont="1" applyFill="1" applyBorder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4" fillId="0" borderId="13" xfId="0" applyNumberFormat="1" applyFont="1" applyBorder="1"/>
    <xf numFmtId="164" fontId="8" fillId="4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164" fontId="10" fillId="0" borderId="3" xfId="0" applyNumberFormat="1" applyFont="1" applyBorder="1" applyProtection="1">
      <protection locked="0"/>
    </xf>
    <xf numFmtId="0" fontId="3" fillId="0" borderId="2" xfId="0" applyFont="1" applyBorder="1"/>
    <xf numFmtId="2" fontId="11" fillId="7" borderId="24" xfId="0" applyNumberFormat="1" applyFont="1" applyFill="1" applyBorder="1"/>
    <xf numFmtId="1" fontId="6" fillId="0" borderId="3" xfId="0" applyNumberFormat="1" applyFont="1" applyBorder="1"/>
    <xf numFmtId="1" fontId="4" fillId="0" borderId="3" xfId="0" applyNumberFormat="1" applyFont="1" applyBorder="1"/>
    <xf numFmtId="0" fontId="2" fillId="2" borderId="2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12" borderId="23" xfId="0" applyFont="1" applyFill="1" applyBorder="1"/>
    <xf numFmtId="0" fontId="2" fillId="13" borderId="23" xfId="0" applyFont="1" applyFill="1" applyBorder="1" applyAlignment="1">
      <alignment horizontal="center"/>
    </xf>
    <xf numFmtId="16" fontId="2" fillId="12" borderId="23" xfId="0" quotePrefix="1" applyNumberFormat="1" applyFont="1" applyFill="1" applyBorder="1" applyAlignment="1">
      <alignment horizontal="center"/>
    </xf>
    <xf numFmtId="2" fontId="2" fillId="12" borderId="23" xfId="0" applyNumberFormat="1" applyFont="1" applyFill="1" applyBorder="1" applyAlignment="1">
      <alignment horizontal="center"/>
    </xf>
    <xf numFmtId="2" fontId="3" fillId="13" borderId="23" xfId="0" applyNumberFormat="1" applyFont="1" applyFill="1" applyBorder="1" applyAlignment="1">
      <alignment horizontal="center"/>
    </xf>
    <xf numFmtId="0" fontId="3" fillId="13" borderId="5" xfId="0" applyFont="1" applyFill="1" applyBorder="1"/>
    <xf numFmtId="0" fontId="3" fillId="13" borderId="6" xfId="0" applyFont="1" applyFill="1" applyBorder="1"/>
    <xf numFmtId="2" fontId="3" fillId="13" borderId="7" xfId="0" applyNumberFormat="1" applyFont="1" applyFill="1" applyBorder="1"/>
    <xf numFmtId="0" fontId="3" fillId="13" borderId="9" xfId="0" applyFont="1" applyFill="1" applyBorder="1"/>
    <xf numFmtId="0" fontId="3" fillId="13" borderId="0" xfId="0" applyFont="1" applyFill="1" applyBorder="1"/>
    <xf numFmtId="2" fontId="3" fillId="13" borderId="10" xfId="0" applyNumberFormat="1" applyFont="1" applyFill="1" applyBorder="1"/>
    <xf numFmtId="0" fontId="3" fillId="13" borderId="10" xfId="0" applyFont="1" applyFill="1" applyBorder="1"/>
    <xf numFmtId="0" fontId="3" fillId="13" borderId="17" xfId="0" applyFont="1" applyFill="1" applyBorder="1"/>
    <xf numFmtId="0" fontId="3" fillId="13" borderId="18" xfId="0" applyFont="1" applyFill="1" applyBorder="1"/>
    <xf numFmtId="2" fontId="3" fillId="13" borderId="19" xfId="0" applyNumberFormat="1" applyFont="1" applyFill="1" applyBorder="1"/>
    <xf numFmtId="2" fontId="3" fillId="0" borderId="0" xfId="0" applyNumberFormat="1" applyFont="1"/>
    <xf numFmtId="164" fontId="5" fillId="4" borderId="0" xfId="0" applyNumberFormat="1" applyFont="1" applyFill="1" applyBorder="1"/>
    <xf numFmtId="164" fontId="6" fillId="0" borderId="23" xfId="0" applyNumberFormat="1" applyFont="1" applyFill="1" applyBorder="1" applyAlignment="1" applyProtection="1">
      <alignment horizontal="center"/>
      <protection locked="0"/>
    </xf>
    <xf numFmtId="0" fontId="10" fillId="0" borderId="25" xfId="0" quotePrefix="1" applyFont="1" applyBorder="1" applyAlignment="1" applyProtection="1">
      <protection locked="0"/>
    </xf>
    <xf numFmtId="0" fontId="3" fillId="0" borderId="26" xfId="0" applyFont="1" applyBorder="1" applyAlignment="1" applyProtection="1">
      <protection locked="0"/>
    </xf>
    <xf numFmtId="0" fontId="3" fillId="0" borderId="27" xfId="0" applyFont="1" applyBorder="1" applyAlignment="1" applyProtection="1">
      <protection locked="0"/>
    </xf>
    <xf numFmtId="0" fontId="3" fillId="11" borderId="25" xfId="0" quotePrefix="1" applyFont="1" applyFill="1" applyBorder="1" applyAlignment="1"/>
    <xf numFmtId="0" fontId="3" fillId="0" borderId="26" xfId="0" applyFont="1" applyBorder="1" applyAlignment="1"/>
    <xf numFmtId="0" fontId="3" fillId="0" borderId="27" xfId="0" applyFont="1" applyBorder="1" applyAlignment="1"/>
    <xf numFmtId="164" fontId="3" fillId="11" borderId="25" xfId="0" quotePrefix="1" applyNumberFormat="1" applyFont="1" applyFill="1" applyBorder="1" applyAlignment="1"/>
    <xf numFmtId="1" fontId="3" fillId="11" borderId="25" xfId="0" quotePrefix="1" applyNumberFormat="1" applyFont="1" applyFill="1" applyBorder="1" applyAlignment="1"/>
    <xf numFmtId="1" fontId="3" fillId="0" borderId="26" xfId="0" applyNumberFormat="1" applyFont="1" applyBorder="1" applyAlignment="1"/>
    <xf numFmtId="1" fontId="3" fillId="0" borderId="27" xfId="0" applyNumberFormat="1" applyFont="1" applyBorder="1" applyAlignment="1"/>
    <xf numFmtId="166" fontId="10" fillId="0" borderId="25" xfId="0" quotePrefix="1" applyNumberFormat="1" applyFont="1" applyBorder="1" applyAlignment="1" applyProtection="1">
      <protection locked="0"/>
    </xf>
    <xf numFmtId="166" fontId="3" fillId="0" borderId="26" xfId="0" applyNumberFormat="1" applyFont="1" applyBorder="1" applyAlignment="1" applyProtection="1">
      <protection locked="0"/>
    </xf>
    <xf numFmtId="166" fontId="3" fillId="0" borderId="27" xfId="0" applyNumberFormat="1" applyFont="1" applyBorder="1" applyAlignment="1" applyProtection="1">
      <protection locked="0"/>
    </xf>
    <xf numFmtId="0" fontId="4" fillId="2" borderId="21" xfId="0" applyFont="1" applyFill="1" applyBorder="1" applyAlignment="1"/>
    <xf numFmtId="0" fontId="7" fillId="0" borderId="0" xfId="0" applyFont="1" applyAlignment="1"/>
    <xf numFmtId="0" fontId="7" fillId="0" borderId="22" xfId="0" applyFont="1" applyBorder="1" applyAlignment="1"/>
    <xf numFmtId="0" fontId="2" fillId="2" borderId="11" xfId="0" applyFont="1" applyFill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2" fillId="2" borderId="21" xfId="0" applyFont="1" applyFill="1" applyBorder="1" applyAlignment="1"/>
    <xf numFmtId="0" fontId="10" fillId="0" borderId="25" xfId="0" applyFont="1" applyBorder="1" applyAlignment="1" applyProtection="1">
      <protection locked="0"/>
    </xf>
    <xf numFmtId="2" fontId="3" fillId="11" borderId="25" xfId="0" quotePrefix="1" applyNumberFormat="1" applyFont="1" applyFill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10" fillId="0" borderId="25" xfId="0" quotePrefix="1" applyNumberFormat="1" applyFon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horizontal="right"/>
      <protection locked="0"/>
    </xf>
    <xf numFmtId="0" fontId="3" fillId="0" borderId="27" xfId="0" applyFont="1" applyBorder="1" applyAlignment="1" applyProtection="1">
      <alignment horizontal="right"/>
      <protection locked="0"/>
    </xf>
    <xf numFmtId="0" fontId="4" fillId="2" borderId="15" xfId="0" applyFont="1" applyFill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4" fillId="2" borderId="13" xfId="0" applyFont="1" applyFill="1" applyBorder="1" applyAlignment="1"/>
    <xf numFmtId="0" fontId="7" fillId="0" borderId="8" xfId="0" applyFont="1" applyBorder="1" applyAlignment="1"/>
    <xf numFmtId="0" fontId="4" fillId="2" borderId="14" xfId="0" applyFont="1" applyFill="1" applyBorder="1" applyAlignment="1"/>
    <xf numFmtId="0" fontId="4" fillId="2" borderId="22" xfId="0" applyFont="1" applyFill="1" applyBorder="1" applyAlignment="1"/>
    <xf numFmtId="0" fontId="7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029"/>
              <a:t>Horn Expansion</a:t>
            </a:r>
          </a:p>
        </c:rich>
      </c:tx>
      <c:layout>
        <c:manualLayout>
          <c:xMode val="edge"/>
          <c:yMode val="edge"/>
          <c:x val="0.42361185787651756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0855409165122"/>
          <c:y val="0.11484625253373526"/>
          <c:w val="0.81944583375012503"/>
          <c:h val="0.75630458985630544"/>
        </c:manualLayout>
      </c:layout>
      <c:scatterChart>
        <c:scatterStyle val="lineMarker"/>
        <c:varyColors val="0"/>
        <c:ser>
          <c:idx val="0"/>
          <c:order val="0"/>
          <c:tx>
            <c:v>Area 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noFill/>
                <a:prstDash val="solid"/>
              </a:ln>
            </c:spPr>
          </c:marker>
          <c:xVal>
            <c:numRef>
              <c:f>Path!$N$29:$N$164</c:f>
              <c:numCache>
                <c:formatCode>0.0</c:formatCod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13.326196171056068</c:v>
                </c:pt>
                <c:pt idx="4">
                  <c:v>13.326196171056068</c:v>
                </c:pt>
                <c:pt idx="5">
                  <c:v>13.326196171056068</c:v>
                </c:pt>
                <c:pt idx="6">
                  <c:v>26.652392342112137</c:v>
                </c:pt>
                <c:pt idx="7">
                  <c:v>26.652392342112137</c:v>
                </c:pt>
                <c:pt idx="8">
                  <c:v>26.652392342112137</c:v>
                </c:pt>
                <c:pt idx="9">
                  <c:v>28.204413342951923</c:v>
                </c:pt>
                <c:pt idx="10">
                  <c:v>28.204413342951923</c:v>
                </c:pt>
                <c:pt idx="11">
                  <c:v>28.204413342951923</c:v>
                </c:pt>
                <c:pt idx="12">
                  <c:v>30.326226929347794</c:v>
                </c:pt>
                <c:pt idx="13">
                  <c:v>30.326226929347794</c:v>
                </c:pt>
                <c:pt idx="14">
                  <c:v>30.326226929347794</c:v>
                </c:pt>
                <c:pt idx="15">
                  <c:v>31.773059230744995</c:v>
                </c:pt>
                <c:pt idx="16">
                  <c:v>31.773059230744995</c:v>
                </c:pt>
                <c:pt idx="17">
                  <c:v>31.773059230744995</c:v>
                </c:pt>
                <c:pt idx="18">
                  <c:v>33.678059230744992</c:v>
                </c:pt>
                <c:pt idx="19">
                  <c:v>33.678059230744992</c:v>
                </c:pt>
                <c:pt idx="20">
                  <c:v>33.678059230744992</c:v>
                </c:pt>
                <c:pt idx="21">
                  <c:v>35.309248501324277</c:v>
                </c:pt>
                <c:pt idx="22">
                  <c:v>35.309248501324277</c:v>
                </c:pt>
                <c:pt idx="23">
                  <c:v>35.309248501324277</c:v>
                </c:pt>
                <c:pt idx="24">
                  <c:v>37.56081409519463</c:v>
                </c:pt>
                <c:pt idx="25">
                  <c:v>37.56081409519463</c:v>
                </c:pt>
                <c:pt idx="26">
                  <c:v>37.56081409519463</c:v>
                </c:pt>
                <c:pt idx="27">
                  <c:v>39.112835096034416</c:v>
                </c:pt>
                <c:pt idx="28">
                  <c:v>39.112835096034416</c:v>
                </c:pt>
                <c:pt idx="29">
                  <c:v>39.112835096034416</c:v>
                </c:pt>
                <c:pt idx="30">
                  <c:v>48.995626408424783</c:v>
                </c:pt>
                <c:pt idx="31">
                  <c:v>48.995626408424783</c:v>
                </c:pt>
                <c:pt idx="32">
                  <c:v>48.995626408424783</c:v>
                </c:pt>
                <c:pt idx="33">
                  <c:v>58.878417720815158</c:v>
                </c:pt>
                <c:pt idx="34">
                  <c:v>58.878417720815158</c:v>
                </c:pt>
                <c:pt idx="35">
                  <c:v>58.878417720815158</c:v>
                </c:pt>
                <c:pt idx="36">
                  <c:v>60.600120150148001</c:v>
                </c:pt>
                <c:pt idx="37">
                  <c:v>60.600120150148001</c:v>
                </c:pt>
                <c:pt idx="38">
                  <c:v>60.600120150148001</c:v>
                </c:pt>
                <c:pt idx="39">
                  <c:v>62.971836341352926</c:v>
                </c:pt>
                <c:pt idx="40">
                  <c:v>62.971836341352926</c:v>
                </c:pt>
                <c:pt idx="41">
                  <c:v>62.971836341352926</c:v>
                </c:pt>
                <c:pt idx="42">
                  <c:v>64.60302561193221</c:v>
                </c:pt>
                <c:pt idx="43">
                  <c:v>64.60302561193221</c:v>
                </c:pt>
                <c:pt idx="44">
                  <c:v>64.60302561193221</c:v>
                </c:pt>
                <c:pt idx="45">
                  <c:v>66.508025611932212</c:v>
                </c:pt>
                <c:pt idx="46">
                  <c:v>66.508025611932212</c:v>
                </c:pt>
                <c:pt idx="47">
                  <c:v>66.508025611932212</c:v>
                </c:pt>
                <c:pt idx="48">
                  <c:v>68.333079843555794</c:v>
                </c:pt>
                <c:pt idx="49">
                  <c:v>68.333079843555794</c:v>
                </c:pt>
                <c:pt idx="50">
                  <c:v>68.333079843555794</c:v>
                </c:pt>
                <c:pt idx="51">
                  <c:v>70.842080083399907</c:v>
                </c:pt>
                <c:pt idx="52">
                  <c:v>70.842080083399907</c:v>
                </c:pt>
                <c:pt idx="53">
                  <c:v>70.842080083399907</c:v>
                </c:pt>
                <c:pt idx="54">
                  <c:v>72.563782512732757</c:v>
                </c:pt>
                <c:pt idx="55">
                  <c:v>72.563782512732757</c:v>
                </c:pt>
                <c:pt idx="56">
                  <c:v>72.563782512732757</c:v>
                </c:pt>
                <c:pt idx="57">
                  <c:v>86.503115826802713</c:v>
                </c:pt>
                <c:pt idx="58">
                  <c:v>86.503115826802713</c:v>
                </c:pt>
                <c:pt idx="59">
                  <c:v>86.503115826802713</c:v>
                </c:pt>
                <c:pt idx="60">
                  <c:v>98.537449140872681</c:v>
                </c:pt>
                <c:pt idx="61">
                  <c:v>98.537449140872681</c:v>
                </c:pt>
                <c:pt idx="62">
                  <c:v>98.537449140872681</c:v>
                </c:pt>
                <c:pt idx="63">
                  <c:v>100.44244914087268</c:v>
                </c:pt>
                <c:pt idx="64">
                  <c:v>100.44244914087268</c:v>
                </c:pt>
                <c:pt idx="65">
                  <c:v>100.44244914087268</c:v>
                </c:pt>
                <c:pt idx="66">
                  <c:v>102.46670505450486</c:v>
                </c:pt>
                <c:pt idx="67">
                  <c:v>102.46670505450486</c:v>
                </c:pt>
                <c:pt idx="68">
                  <c:v>102.46670505450486</c:v>
                </c:pt>
                <c:pt idx="69">
                  <c:v>105.19222059330517</c:v>
                </c:pt>
                <c:pt idx="70">
                  <c:v>105.19222059330517</c:v>
                </c:pt>
                <c:pt idx="71">
                  <c:v>105.19222059330517</c:v>
                </c:pt>
                <c:pt idx="72">
                  <c:v>107.01727482492875</c:v>
                </c:pt>
                <c:pt idx="73">
                  <c:v>107.01727482492875</c:v>
                </c:pt>
                <c:pt idx="74">
                  <c:v>107.01727482492875</c:v>
                </c:pt>
                <c:pt idx="75">
                  <c:v>125.04436111283468</c:v>
                </c:pt>
                <c:pt idx="76">
                  <c:v>125.04436111283468</c:v>
                </c:pt>
                <c:pt idx="77">
                  <c:v>125.04436111283468</c:v>
                </c:pt>
                <c:pt idx="78">
                  <c:v>143.12660671249412</c:v>
                </c:pt>
                <c:pt idx="79">
                  <c:v>143.12660671249412</c:v>
                </c:pt>
                <c:pt idx="80">
                  <c:v>143.12660671249412</c:v>
                </c:pt>
                <c:pt idx="81">
                  <c:v>145.29196104320278</c:v>
                </c:pt>
                <c:pt idx="82">
                  <c:v>145.29196104320278</c:v>
                </c:pt>
                <c:pt idx="83">
                  <c:v>145.29196104320278</c:v>
                </c:pt>
                <c:pt idx="84">
                  <c:v>148.32073622500781</c:v>
                </c:pt>
                <c:pt idx="85">
                  <c:v>148.32073622500781</c:v>
                </c:pt>
                <c:pt idx="86">
                  <c:v>148.32073622500781</c:v>
                </c:pt>
                <c:pt idx="87">
                  <c:v>150.43845191045745</c:v>
                </c:pt>
                <c:pt idx="88">
                  <c:v>150.43845191045745</c:v>
                </c:pt>
                <c:pt idx="89">
                  <c:v>150.43845191045745</c:v>
                </c:pt>
                <c:pt idx="90">
                  <c:v>151.39095191045743</c:v>
                </c:pt>
                <c:pt idx="91">
                  <c:v>151.39095191045743</c:v>
                </c:pt>
                <c:pt idx="92">
                  <c:v>151.39095191045743</c:v>
                </c:pt>
                <c:pt idx="93">
                  <c:v>152.34345191045742</c:v>
                </c:pt>
                <c:pt idx="94">
                  <c:v>152.34345191045742</c:v>
                </c:pt>
                <c:pt idx="95">
                  <c:v>152.34345191045742</c:v>
                </c:pt>
                <c:pt idx="96">
                  <c:v>154.53041311724508</c:v>
                </c:pt>
                <c:pt idx="97">
                  <c:v>154.53041311724508</c:v>
                </c:pt>
                <c:pt idx="98">
                  <c:v>154.53041311724508</c:v>
                </c:pt>
                <c:pt idx="99">
                  <c:v>157.75521390333614</c:v>
                </c:pt>
                <c:pt idx="100">
                  <c:v>157.75521390333614</c:v>
                </c:pt>
                <c:pt idx="101">
                  <c:v>157.75521390333614</c:v>
                </c:pt>
                <c:pt idx="102">
                  <c:v>159.64723319224936</c:v>
                </c:pt>
                <c:pt idx="103">
                  <c:v>159.64723319224936</c:v>
                </c:pt>
                <c:pt idx="104">
                  <c:v>159.64723319224936</c:v>
                </c:pt>
                <c:pt idx="105">
                  <c:v>161.93076192081796</c:v>
                </c:pt>
                <c:pt idx="106">
                  <c:v>161.93076192081796</c:v>
                </c:pt>
                <c:pt idx="107">
                  <c:v>161.93076192081796</c:v>
                </c:pt>
                <c:pt idx="108">
                  <c:v>164.2142906493865</c:v>
                </c:pt>
                <c:pt idx="109">
                  <c:v>164.2142906493865</c:v>
                </c:pt>
                <c:pt idx="110">
                  <c:v>164.2142906493865</c:v>
                </c:pt>
                <c:pt idx="111">
                  <c:v>167.58396296436385</c:v>
                </c:pt>
                <c:pt idx="112">
                  <c:v>167.58396296436385</c:v>
                </c:pt>
                <c:pt idx="113">
                  <c:v>167.58396296436385</c:v>
                </c:pt>
                <c:pt idx="114">
                  <c:v>172.37291521963715</c:v>
                </c:pt>
                <c:pt idx="115">
                  <c:v>172.37291521963715</c:v>
                </c:pt>
                <c:pt idx="116">
                  <c:v>172.37291521963715</c:v>
                </c:pt>
                <c:pt idx="117">
                  <c:v>175.77576287901931</c:v>
                </c:pt>
                <c:pt idx="118">
                  <c:v>175.77576287901931</c:v>
                </c:pt>
                <c:pt idx="119">
                  <c:v>175.77576287901931</c:v>
                </c:pt>
                <c:pt idx="120">
                  <c:v>177.66605596886427</c:v>
                </c:pt>
                <c:pt idx="121">
                  <c:v>177.66605596886427</c:v>
                </c:pt>
                <c:pt idx="122">
                  <c:v>177.66605596886427</c:v>
                </c:pt>
                <c:pt idx="123">
                  <c:v>182.14674262403247</c:v>
                </c:pt>
                <c:pt idx="124">
                  <c:v>182.14674262403247</c:v>
                </c:pt>
                <c:pt idx="125">
                  <c:v>182.14674262403247</c:v>
                </c:pt>
                <c:pt idx="126">
                  <c:v>188.05677514395433</c:v>
                </c:pt>
                <c:pt idx="127">
                  <c:v>188.05677514395433</c:v>
                </c:pt>
                <c:pt idx="128">
                  <c:v>188.05677514395433</c:v>
                </c:pt>
                <c:pt idx="129">
                  <c:v>193.1510242733134</c:v>
                </c:pt>
                <c:pt idx="130">
                  <c:v>193.1510242733134</c:v>
                </c:pt>
                <c:pt idx="131">
                  <c:v>193.1510242733134</c:v>
                </c:pt>
                <c:pt idx="132">
                  <c:v>200.16452155412526</c:v>
                </c:pt>
                <c:pt idx="133">
                  <c:v>200.16452155412526</c:v>
                </c:pt>
                <c:pt idx="134">
                  <c:v>200.16452155412526</c:v>
                </c:pt>
                <c:pt idx="135">
                  <c:v>203.81957827317888</c:v>
                </c:pt>
              </c:numCache>
            </c:numRef>
          </c:xVal>
          <c:yVal>
            <c:numRef>
              <c:f>Path!$R$29:$R$164</c:f>
              <c:numCache>
                <c:formatCode>0</c:formatCode>
                <c:ptCount val="136"/>
                <c:pt idx="0">
                  <c:v>183.74770227744466</c:v>
                </c:pt>
                <c:pt idx="1">
                  <c:v>183.74770227744466</c:v>
                </c:pt>
                <c:pt idx="2">
                  <c:v>183.74770227744466</c:v>
                </c:pt>
                <c:pt idx="3">
                  <c:v>183.74770227744466</c:v>
                </c:pt>
                <c:pt idx="4">
                  <c:v>183.74770227744466</c:v>
                </c:pt>
                <c:pt idx="5">
                  <c:v>183.74770227744466</c:v>
                </c:pt>
                <c:pt idx="6">
                  <c:v>183.74770227744466</c:v>
                </c:pt>
                <c:pt idx="7">
                  <c:v>183.74770227744466</c:v>
                </c:pt>
                <c:pt idx="8">
                  <c:v>183.74770227744466</c:v>
                </c:pt>
                <c:pt idx="9">
                  <c:v>208.50893900913161</c:v>
                </c:pt>
                <c:pt idx="10">
                  <c:v>208.50893900913161</c:v>
                </c:pt>
                <c:pt idx="11">
                  <c:v>208.50893900913161</c:v>
                </c:pt>
                <c:pt idx="12">
                  <c:v>217.46687734216798</c:v>
                </c:pt>
                <c:pt idx="13">
                  <c:v>217.46687734216798</c:v>
                </c:pt>
                <c:pt idx="14">
                  <c:v>217.46687734216798</c:v>
                </c:pt>
                <c:pt idx="15">
                  <c:v>197.1066671066543</c:v>
                </c:pt>
                <c:pt idx="16">
                  <c:v>197.1066671066543</c:v>
                </c:pt>
                <c:pt idx="17">
                  <c:v>197.1066671066543</c:v>
                </c:pt>
                <c:pt idx="18">
                  <c:v>197.1066671066543</c:v>
                </c:pt>
                <c:pt idx="19">
                  <c:v>197.1066671066543</c:v>
                </c:pt>
                <c:pt idx="20">
                  <c:v>197.1066671066543</c:v>
                </c:pt>
                <c:pt idx="21">
                  <c:v>222.6655834840241</c:v>
                </c:pt>
                <c:pt idx="22">
                  <c:v>222.6655834840241</c:v>
                </c:pt>
                <c:pt idx="23">
                  <c:v>222.6655834840241</c:v>
                </c:pt>
                <c:pt idx="24">
                  <c:v>229.40892518823932</c:v>
                </c:pt>
                <c:pt idx="25">
                  <c:v>229.40892518823932</c:v>
                </c:pt>
                <c:pt idx="26">
                  <c:v>229.40892518823932</c:v>
                </c:pt>
                <c:pt idx="27">
                  <c:v>207.16103736356862</c:v>
                </c:pt>
                <c:pt idx="28">
                  <c:v>207.16103736356862</c:v>
                </c:pt>
                <c:pt idx="29">
                  <c:v>207.16103736356862</c:v>
                </c:pt>
                <c:pt idx="30">
                  <c:v>207.16103736356862</c:v>
                </c:pt>
                <c:pt idx="31">
                  <c:v>207.16103736356862</c:v>
                </c:pt>
                <c:pt idx="32">
                  <c:v>207.16103736356862</c:v>
                </c:pt>
                <c:pt idx="33">
                  <c:v>207.16103736356862</c:v>
                </c:pt>
                <c:pt idx="34">
                  <c:v>207.16103736356862</c:v>
                </c:pt>
                <c:pt idx="35">
                  <c:v>207.16103736356862</c:v>
                </c:pt>
                <c:pt idx="36">
                  <c:v>234.23989793203813</c:v>
                </c:pt>
                <c:pt idx="37">
                  <c:v>234.23989793203813</c:v>
                </c:pt>
                <c:pt idx="38">
                  <c:v>234.23989793203813</c:v>
                </c:pt>
                <c:pt idx="39">
                  <c:v>241.94929505380799</c:v>
                </c:pt>
                <c:pt idx="40">
                  <c:v>241.94929505380799</c:v>
                </c:pt>
                <c:pt idx="41">
                  <c:v>241.94929505380799</c:v>
                </c:pt>
                <c:pt idx="42">
                  <c:v>218.65620852527184</c:v>
                </c:pt>
                <c:pt idx="43">
                  <c:v>218.65620852527184</c:v>
                </c:pt>
                <c:pt idx="44">
                  <c:v>218.65620852527184</c:v>
                </c:pt>
                <c:pt idx="45">
                  <c:v>218.65620852527184</c:v>
                </c:pt>
                <c:pt idx="46">
                  <c:v>218.65620852527184</c:v>
                </c:pt>
                <c:pt idx="47">
                  <c:v>218.65620852527184</c:v>
                </c:pt>
                <c:pt idx="48">
                  <c:v>247.46969180123983</c:v>
                </c:pt>
                <c:pt idx="49">
                  <c:v>247.46969180123983</c:v>
                </c:pt>
                <c:pt idx="50">
                  <c:v>247.46969180123983</c:v>
                </c:pt>
                <c:pt idx="51">
                  <c:v>256.27227262401141</c:v>
                </c:pt>
                <c:pt idx="52">
                  <c:v>256.27227262401141</c:v>
                </c:pt>
                <c:pt idx="53">
                  <c:v>256.27227262401141</c:v>
                </c:pt>
                <c:pt idx="54">
                  <c:v>231.78188741619533</c:v>
                </c:pt>
                <c:pt idx="55">
                  <c:v>231.78188741619533</c:v>
                </c:pt>
                <c:pt idx="56">
                  <c:v>231.78188741619533</c:v>
                </c:pt>
                <c:pt idx="57">
                  <c:v>231.78188741619533</c:v>
                </c:pt>
                <c:pt idx="58">
                  <c:v>231.78188741619533</c:v>
                </c:pt>
                <c:pt idx="59">
                  <c:v>231.78188741619533</c:v>
                </c:pt>
                <c:pt idx="60">
                  <c:v>231.78188741619533</c:v>
                </c:pt>
                <c:pt idx="61">
                  <c:v>231.78188741619533</c:v>
                </c:pt>
                <c:pt idx="62">
                  <c:v>231.78188741619533</c:v>
                </c:pt>
                <c:pt idx="63">
                  <c:v>231.78188741619533</c:v>
                </c:pt>
                <c:pt idx="64">
                  <c:v>231.78188741619533</c:v>
                </c:pt>
                <c:pt idx="65">
                  <c:v>231.78188741619533</c:v>
                </c:pt>
                <c:pt idx="66">
                  <c:v>265.03856198077671</c:v>
                </c:pt>
                <c:pt idx="67">
                  <c:v>265.03856198077671</c:v>
                </c:pt>
                <c:pt idx="68">
                  <c:v>265.03856198077671</c:v>
                </c:pt>
                <c:pt idx="69">
                  <c:v>281.99484896722873</c:v>
                </c:pt>
                <c:pt idx="70">
                  <c:v>281.99484896722873</c:v>
                </c:pt>
                <c:pt idx="71">
                  <c:v>281.99484896722873</c:v>
                </c:pt>
                <c:pt idx="72">
                  <c:v>257.08050103128528</c:v>
                </c:pt>
                <c:pt idx="73">
                  <c:v>257.08050103128528</c:v>
                </c:pt>
                <c:pt idx="74">
                  <c:v>257.08050103128528</c:v>
                </c:pt>
                <c:pt idx="75">
                  <c:v>257.08050103128528</c:v>
                </c:pt>
                <c:pt idx="76">
                  <c:v>257.08050103128528</c:v>
                </c:pt>
                <c:pt idx="77">
                  <c:v>257.08050103128528</c:v>
                </c:pt>
                <c:pt idx="78">
                  <c:v>268.94989205210459</c:v>
                </c:pt>
                <c:pt idx="79">
                  <c:v>268.94989205210459</c:v>
                </c:pt>
                <c:pt idx="80">
                  <c:v>268.94989205210459</c:v>
                </c:pt>
                <c:pt idx="81">
                  <c:v>302.06008414691058</c:v>
                </c:pt>
                <c:pt idx="82">
                  <c:v>302.06008414691058</c:v>
                </c:pt>
                <c:pt idx="83">
                  <c:v>302.06008414691058</c:v>
                </c:pt>
                <c:pt idx="84">
                  <c:v>306.11845927468954</c:v>
                </c:pt>
                <c:pt idx="85">
                  <c:v>306.11845927468954</c:v>
                </c:pt>
                <c:pt idx="86">
                  <c:v>306.11845927468954</c:v>
                </c:pt>
                <c:pt idx="87">
                  <c:v>275</c:v>
                </c:pt>
                <c:pt idx="88">
                  <c:v>275</c:v>
                </c:pt>
                <c:pt idx="89">
                  <c:v>275</c:v>
                </c:pt>
                <c:pt idx="90">
                  <c:v>275</c:v>
                </c:pt>
                <c:pt idx="91">
                  <c:v>275</c:v>
                </c:pt>
                <c:pt idx="92">
                  <c:v>275</c:v>
                </c:pt>
                <c:pt idx="93">
                  <c:v>275</c:v>
                </c:pt>
                <c:pt idx="94">
                  <c:v>275</c:v>
                </c:pt>
                <c:pt idx="95">
                  <c:v>275</c:v>
                </c:pt>
                <c:pt idx="96">
                  <c:v>308.07538453769104</c:v>
                </c:pt>
                <c:pt idx="97">
                  <c:v>308.07538453769104</c:v>
                </c:pt>
                <c:pt idx="98">
                  <c:v>308.07538453769104</c:v>
                </c:pt>
                <c:pt idx="99">
                  <c:v>345.80467629124911</c:v>
                </c:pt>
                <c:pt idx="100">
                  <c:v>345.80467629124911</c:v>
                </c:pt>
                <c:pt idx="101">
                  <c:v>345.80467629124911</c:v>
                </c:pt>
                <c:pt idx="102">
                  <c:v>339.50517965179012</c:v>
                </c:pt>
                <c:pt idx="103">
                  <c:v>339.50517965179012</c:v>
                </c:pt>
                <c:pt idx="104">
                  <c:v>339.50517965179012</c:v>
                </c:pt>
                <c:pt idx="105">
                  <c:v>357.62836106738865</c:v>
                </c:pt>
                <c:pt idx="106">
                  <c:v>357.62836106738865</c:v>
                </c:pt>
                <c:pt idx="107">
                  <c:v>357.62836106738865</c:v>
                </c:pt>
                <c:pt idx="108">
                  <c:v>375.75154248298691</c:v>
                </c:pt>
                <c:pt idx="109">
                  <c:v>375.75154248298691</c:v>
                </c:pt>
                <c:pt idx="110">
                  <c:v>375.75154248298691</c:v>
                </c:pt>
                <c:pt idx="111">
                  <c:v>454.88099617061789</c:v>
                </c:pt>
                <c:pt idx="112">
                  <c:v>454.88099617061789</c:v>
                </c:pt>
                <c:pt idx="113">
                  <c:v>454.88099617061789</c:v>
                </c:pt>
                <c:pt idx="114">
                  <c:v>499.77323562934453</c:v>
                </c:pt>
                <c:pt idx="115">
                  <c:v>499.77323562934453</c:v>
                </c:pt>
                <c:pt idx="116">
                  <c:v>499.77323562934453</c:v>
                </c:pt>
                <c:pt idx="117">
                  <c:v>478.24083032712389</c:v>
                </c:pt>
                <c:pt idx="118">
                  <c:v>478.24083032712389</c:v>
                </c:pt>
                <c:pt idx="119">
                  <c:v>478.24083032712389</c:v>
                </c:pt>
                <c:pt idx="120">
                  <c:v>493.24310473134693</c:v>
                </c:pt>
                <c:pt idx="121">
                  <c:v>493.24310473134693</c:v>
                </c:pt>
                <c:pt idx="122">
                  <c:v>493.24310473134693</c:v>
                </c:pt>
                <c:pt idx="123">
                  <c:v>599.20942527475097</c:v>
                </c:pt>
                <c:pt idx="124">
                  <c:v>599.20942527475097</c:v>
                </c:pt>
                <c:pt idx="125">
                  <c:v>599.20942527475097</c:v>
                </c:pt>
                <c:pt idx="126">
                  <c:v>676.06387937815396</c:v>
                </c:pt>
                <c:pt idx="127">
                  <c:v>676.06387937815396</c:v>
                </c:pt>
                <c:pt idx="128">
                  <c:v>676.06387937815396</c:v>
                </c:pt>
                <c:pt idx="129">
                  <c:v>635.12199154512416</c:v>
                </c:pt>
                <c:pt idx="130">
                  <c:v>635.12199154512416</c:v>
                </c:pt>
                <c:pt idx="131">
                  <c:v>635.12199154512416</c:v>
                </c:pt>
                <c:pt idx="132">
                  <c:v>690.78447653502724</c:v>
                </c:pt>
                <c:pt idx="133">
                  <c:v>690.78447653502724</c:v>
                </c:pt>
                <c:pt idx="134">
                  <c:v>690.78447653502724</c:v>
                </c:pt>
                <c:pt idx="135">
                  <c:v>719.7927632165065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F4-43A6-953E-010F2EC8782F}"/>
            </c:ext>
          </c:extLst>
        </c:ser>
        <c:ser>
          <c:idx val="1"/>
          <c:order val="1"/>
          <c:tx>
            <c:v>Area 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noFill/>
                <a:prstDash val="solid"/>
              </a:ln>
            </c:spPr>
          </c:marker>
          <c:xVal>
            <c:numRef>
              <c:f>Path!$N$29:$N$164</c:f>
              <c:numCache>
                <c:formatCode>0.0</c:formatCod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13.326196171056068</c:v>
                </c:pt>
                <c:pt idx="4">
                  <c:v>13.326196171056068</c:v>
                </c:pt>
                <c:pt idx="5">
                  <c:v>13.326196171056068</c:v>
                </c:pt>
                <c:pt idx="6">
                  <c:v>26.652392342112137</c:v>
                </c:pt>
                <c:pt idx="7">
                  <c:v>26.652392342112137</c:v>
                </c:pt>
                <c:pt idx="8">
                  <c:v>26.652392342112137</c:v>
                </c:pt>
                <c:pt idx="9">
                  <c:v>28.204413342951923</c:v>
                </c:pt>
                <c:pt idx="10">
                  <c:v>28.204413342951923</c:v>
                </c:pt>
                <c:pt idx="11">
                  <c:v>28.204413342951923</c:v>
                </c:pt>
                <c:pt idx="12">
                  <c:v>30.326226929347794</c:v>
                </c:pt>
                <c:pt idx="13">
                  <c:v>30.326226929347794</c:v>
                </c:pt>
                <c:pt idx="14">
                  <c:v>30.326226929347794</c:v>
                </c:pt>
                <c:pt idx="15">
                  <c:v>31.773059230744995</c:v>
                </c:pt>
                <c:pt idx="16">
                  <c:v>31.773059230744995</c:v>
                </c:pt>
                <c:pt idx="17">
                  <c:v>31.773059230744995</c:v>
                </c:pt>
                <c:pt idx="18">
                  <c:v>33.678059230744992</c:v>
                </c:pt>
                <c:pt idx="19">
                  <c:v>33.678059230744992</c:v>
                </c:pt>
                <c:pt idx="20">
                  <c:v>33.678059230744992</c:v>
                </c:pt>
                <c:pt idx="21">
                  <c:v>35.309248501324277</c:v>
                </c:pt>
                <c:pt idx="22">
                  <c:v>35.309248501324277</c:v>
                </c:pt>
                <c:pt idx="23">
                  <c:v>35.309248501324277</c:v>
                </c:pt>
                <c:pt idx="24">
                  <c:v>37.56081409519463</c:v>
                </c:pt>
                <c:pt idx="25">
                  <c:v>37.56081409519463</c:v>
                </c:pt>
                <c:pt idx="26">
                  <c:v>37.56081409519463</c:v>
                </c:pt>
                <c:pt idx="27">
                  <c:v>39.112835096034416</c:v>
                </c:pt>
                <c:pt idx="28">
                  <c:v>39.112835096034416</c:v>
                </c:pt>
                <c:pt idx="29">
                  <c:v>39.112835096034416</c:v>
                </c:pt>
                <c:pt idx="30">
                  <c:v>48.995626408424783</c:v>
                </c:pt>
                <c:pt idx="31">
                  <c:v>48.995626408424783</c:v>
                </c:pt>
                <c:pt idx="32">
                  <c:v>48.995626408424783</c:v>
                </c:pt>
                <c:pt idx="33">
                  <c:v>58.878417720815158</c:v>
                </c:pt>
                <c:pt idx="34">
                  <c:v>58.878417720815158</c:v>
                </c:pt>
                <c:pt idx="35">
                  <c:v>58.878417720815158</c:v>
                </c:pt>
                <c:pt idx="36">
                  <c:v>60.600120150148001</c:v>
                </c:pt>
                <c:pt idx="37">
                  <c:v>60.600120150148001</c:v>
                </c:pt>
                <c:pt idx="38">
                  <c:v>60.600120150148001</c:v>
                </c:pt>
                <c:pt idx="39">
                  <c:v>62.971836341352926</c:v>
                </c:pt>
                <c:pt idx="40">
                  <c:v>62.971836341352926</c:v>
                </c:pt>
                <c:pt idx="41">
                  <c:v>62.971836341352926</c:v>
                </c:pt>
                <c:pt idx="42">
                  <c:v>64.60302561193221</c:v>
                </c:pt>
                <c:pt idx="43">
                  <c:v>64.60302561193221</c:v>
                </c:pt>
                <c:pt idx="44">
                  <c:v>64.60302561193221</c:v>
                </c:pt>
                <c:pt idx="45">
                  <c:v>66.508025611932212</c:v>
                </c:pt>
                <c:pt idx="46">
                  <c:v>66.508025611932212</c:v>
                </c:pt>
                <c:pt idx="47">
                  <c:v>66.508025611932212</c:v>
                </c:pt>
                <c:pt idx="48">
                  <c:v>68.333079843555794</c:v>
                </c:pt>
                <c:pt idx="49">
                  <c:v>68.333079843555794</c:v>
                </c:pt>
                <c:pt idx="50">
                  <c:v>68.333079843555794</c:v>
                </c:pt>
                <c:pt idx="51">
                  <c:v>70.842080083399907</c:v>
                </c:pt>
                <c:pt idx="52">
                  <c:v>70.842080083399907</c:v>
                </c:pt>
                <c:pt idx="53">
                  <c:v>70.842080083399907</c:v>
                </c:pt>
                <c:pt idx="54">
                  <c:v>72.563782512732757</c:v>
                </c:pt>
                <c:pt idx="55">
                  <c:v>72.563782512732757</c:v>
                </c:pt>
                <c:pt idx="56">
                  <c:v>72.563782512732757</c:v>
                </c:pt>
                <c:pt idx="57">
                  <c:v>86.503115826802713</c:v>
                </c:pt>
                <c:pt idx="58">
                  <c:v>86.503115826802713</c:v>
                </c:pt>
                <c:pt idx="59">
                  <c:v>86.503115826802713</c:v>
                </c:pt>
                <c:pt idx="60">
                  <c:v>98.537449140872681</c:v>
                </c:pt>
                <c:pt idx="61">
                  <c:v>98.537449140872681</c:v>
                </c:pt>
                <c:pt idx="62">
                  <c:v>98.537449140872681</c:v>
                </c:pt>
                <c:pt idx="63">
                  <c:v>100.44244914087268</c:v>
                </c:pt>
                <c:pt idx="64">
                  <c:v>100.44244914087268</c:v>
                </c:pt>
                <c:pt idx="65">
                  <c:v>100.44244914087268</c:v>
                </c:pt>
                <c:pt idx="66">
                  <c:v>102.46670505450486</c:v>
                </c:pt>
                <c:pt idx="67">
                  <c:v>102.46670505450486</c:v>
                </c:pt>
                <c:pt idx="68">
                  <c:v>102.46670505450486</c:v>
                </c:pt>
                <c:pt idx="69">
                  <c:v>105.19222059330517</c:v>
                </c:pt>
                <c:pt idx="70">
                  <c:v>105.19222059330517</c:v>
                </c:pt>
                <c:pt idx="71">
                  <c:v>105.19222059330517</c:v>
                </c:pt>
                <c:pt idx="72">
                  <c:v>107.01727482492875</c:v>
                </c:pt>
                <c:pt idx="73">
                  <c:v>107.01727482492875</c:v>
                </c:pt>
                <c:pt idx="74">
                  <c:v>107.01727482492875</c:v>
                </c:pt>
                <c:pt idx="75">
                  <c:v>125.04436111283468</c:v>
                </c:pt>
                <c:pt idx="76">
                  <c:v>125.04436111283468</c:v>
                </c:pt>
                <c:pt idx="77">
                  <c:v>125.04436111283468</c:v>
                </c:pt>
                <c:pt idx="78">
                  <c:v>143.12660671249412</c:v>
                </c:pt>
                <c:pt idx="79">
                  <c:v>143.12660671249412</c:v>
                </c:pt>
                <c:pt idx="80">
                  <c:v>143.12660671249412</c:v>
                </c:pt>
                <c:pt idx="81">
                  <c:v>145.29196104320278</c:v>
                </c:pt>
                <c:pt idx="82">
                  <c:v>145.29196104320278</c:v>
                </c:pt>
                <c:pt idx="83">
                  <c:v>145.29196104320278</c:v>
                </c:pt>
                <c:pt idx="84">
                  <c:v>148.32073622500781</c:v>
                </c:pt>
                <c:pt idx="85">
                  <c:v>148.32073622500781</c:v>
                </c:pt>
                <c:pt idx="86">
                  <c:v>148.32073622500781</c:v>
                </c:pt>
                <c:pt idx="87">
                  <c:v>150.43845191045745</c:v>
                </c:pt>
                <c:pt idx="88">
                  <c:v>150.43845191045745</c:v>
                </c:pt>
                <c:pt idx="89">
                  <c:v>150.43845191045745</c:v>
                </c:pt>
                <c:pt idx="90">
                  <c:v>151.39095191045743</c:v>
                </c:pt>
                <c:pt idx="91">
                  <c:v>151.39095191045743</c:v>
                </c:pt>
                <c:pt idx="92">
                  <c:v>151.39095191045743</c:v>
                </c:pt>
                <c:pt idx="93">
                  <c:v>152.34345191045742</c:v>
                </c:pt>
                <c:pt idx="94">
                  <c:v>152.34345191045742</c:v>
                </c:pt>
                <c:pt idx="95">
                  <c:v>152.34345191045742</c:v>
                </c:pt>
                <c:pt idx="96">
                  <c:v>154.53041311724508</c:v>
                </c:pt>
                <c:pt idx="97">
                  <c:v>154.53041311724508</c:v>
                </c:pt>
                <c:pt idx="98">
                  <c:v>154.53041311724508</c:v>
                </c:pt>
                <c:pt idx="99">
                  <c:v>157.75521390333614</c:v>
                </c:pt>
                <c:pt idx="100">
                  <c:v>157.75521390333614</c:v>
                </c:pt>
                <c:pt idx="101">
                  <c:v>157.75521390333614</c:v>
                </c:pt>
                <c:pt idx="102">
                  <c:v>159.64723319224936</c:v>
                </c:pt>
                <c:pt idx="103">
                  <c:v>159.64723319224936</c:v>
                </c:pt>
                <c:pt idx="104">
                  <c:v>159.64723319224936</c:v>
                </c:pt>
                <c:pt idx="105">
                  <c:v>161.93076192081796</c:v>
                </c:pt>
                <c:pt idx="106">
                  <c:v>161.93076192081796</c:v>
                </c:pt>
                <c:pt idx="107">
                  <c:v>161.93076192081796</c:v>
                </c:pt>
                <c:pt idx="108">
                  <c:v>164.2142906493865</c:v>
                </c:pt>
                <c:pt idx="109">
                  <c:v>164.2142906493865</c:v>
                </c:pt>
                <c:pt idx="110">
                  <c:v>164.2142906493865</c:v>
                </c:pt>
                <c:pt idx="111">
                  <c:v>167.58396296436385</c:v>
                </c:pt>
                <c:pt idx="112">
                  <c:v>167.58396296436385</c:v>
                </c:pt>
                <c:pt idx="113">
                  <c:v>167.58396296436385</c:v>
                </c:pt>
                <c:pt idx="114">
                  <c:v>172.37291521963715</c:v>
                </c:pt>
                <c:pt idx="115">
                  <c:v>172.37291521963715</c:v>
                </c:pt>
                <c:pt idx="116">
                  <c:v>172.37291521963715</c:v>
                </c:pt>
                <c:pt idx="117">
                  <c:v>175.77576287901931</c:v>
                </c:pt>
                <c:pt idx="118">
                  <c:v>175.77576287901931</c:v>
                </c:pt>
                <c:pt idx="119">
                  <c:v>175.77576287901931</c:v>
                </c:pt>
                <c:pt idx="120">
                  <c:v>177.66605596886427</c:v>
                </c:pt>
                <c:pt idx="121">
                  <c:v>177.66605596886427</c:v>
                </c:pt>
                <c:pt idx="122">
                  <c:v>177.66605596886427</c:v>
                </c:pt>
                <c:pt idx="123">
                  <c:v>182.14674262403247</c:v>
                </c:pt>
                <c:pt idx="124">
                  <c:v>182.14674262403247</c:v>
                </c:pt>
                <c:pt idx="125">
                  <c:v>182.14674262403247</c:v>
                </c:pt>
                <c:pt idx="126">
                  <c:v>188.05677514395433</c:v>
                </c:pt>
                <c:pt idx="127">
                  <c:v>188.05677514395433</c:v>
                </c:pt>
                <c:pt idx="128">
                  <c:v>188.05677514395433</c:v>
                </c:pt>
                <c:pt idx="129">
                  <c:v>193.1510242733134</c:v>
                </c:pt>
                <c:pt idx="130">
                  <c:v>193.1510242733134</c:v>
                </c:pt>
                <c:pt idx="131">
                  <c:v>193.1510242733134</c:v>
                </c:pt>
                <c:pt idx="132">
                  <c:v>200.16452155412526</c:v>
                </c:pt>
                <c:pt idx="133">
                  <c:v>200.16452155412526</c:v>
                </c:pt>
                <c:pt idx="134">
                  <c:v>200.16452155412526</c:v>
                </c:pt>
                <c:pt idx="135">
                  <c:v>203.81957827317888</c:v>
                </c:pt>
              </c:numCache>
            </c:numRef>
          </c:xVal>
          <c:yVal>
            <c:numRef>
              <c:f>Path!$S$29:$S$164</c:f>
              <c:numCache>
                <c:formatCode>0</c:formatCode>
                <c:ptCount val="136"/>
                <c:pt idx="0">
                  <c:v>-183.74770227744466</c:v>
                </c:pt>
                <c:pt idx="1">
                  <c:v>-183.74770227744466</c:v>
                </c:pt>
                <c:pt idx="2">
                  <c:v>-183.74770227744466</c:v>
                </c:pt>
                <c:pt idx="3">
                  <c:v>-183.74770227744466</c:v>
                </c:pt>
                <c:pt idx="4">
                  <c:v>-183.74770227744466</c:v>
                </c:pt>
                <c:pt idx="5">
                  <c:v>-183.74770227744466</c:v>
                </c:pt>
                <c:pt idx="6">
                  <c:v>-183.74770227744466</c:v>
                </c:pt>
                <c:pt idx="7">
                  <c:v>-183.74770227744466</c:v>
                </c:pt>
                <c:pt idx="8">
                  <c:v>-183.74770227744466</c:v>
                </c:pt>
                <c:pt idx="9">
                  <c:v>-208.50893900913161</c:v>
                </c:pt>
                <c:pt idx="10">
                  <c:v>-208.50893900913161</c:v>
                </c:pt>
                <c:pt idx="11">
                  <c:v>-208.50893900913161</c:v>
                </c:pt>
                <c:pt idx="12">
                  <c:v>-217.46687734216798</c:v>
                </c:pt>
                <c:pt idx="13">
                  <c:v>-217.46687734216798</c:v>
                </c:pt>
                <c:pt idx="14">
                  <c:v>-217.46687734216798</c:v>
                </c:pt>
                <c:pt idx="15">
                  <c:v>-197.1066671066543</c:v>
                </c:pt>
                <c:pt idx="16">
                  <c:v>-197.1066671066543</c:v>
                </c:pt>
                <c:pt idx="17">
                  <c:v>-197.1066671066543</c:v>
                </c:pt>
                <c:pt idx="18">
                  <c:v>-197.1066671066543</c:v>
                </c:pt>
                <c:pt idx="19">
                  <c:v>-197.1066671066543</c:v>
                </c:pt>
                <c:pt idx="20">
                  <c:v>-197.1066671066543</c:v>
                </c:pt>
                <c:pt idx="21">
                  <c:v>-222.6655834840241</c:v>
                </c:pt>
                <c:pt idx="22">
                  <c:v>-222.6655834840241</c:v>
                </c:pt>
                <c:pt idx="23">
                  <c:v>-222.6655834840241</c:v>
                </c:pt>
                <c:pt idx="24">
                  <c:v>-229.40892518823932</c:v>
                </c:pt>
                <c:pt idx="25">
                  <c:v>-229.40892518823932</c:v>
                </c:pt>
                <c:pt idx="26">
                  <c:v>-229.40892518823932</c:v>
                </c:pt>
                <c:pt idx="27">
                  <c:v>-207.16103736356862</c:v>
                </c:pt>
                <c:pt idx="28">
                  <c:v>-207.16103736356862</c:v>
                </c:pt>
                <c:pt idx="29">
                  <c:v>-207.16103736356862</c:v>
                </c:pt>
                <c:pt idx="30">
                  <c:v>-207.16103736356862</c:v>
                </c:pt>
                <c:pt idx="31">
                  <c:v>-207.16103736356862</c:v>
                </c:pt>
                <c:pt idx="32">
                  <c:v>-207.16103736356862</c:v>
                </c:pt>
                <c:pt idx="33">
                  <c:v>-207.16103736356862</c:v>
                </c:pt>
                <c:pt idx="34">
                  <c:v>-207.16103736356862</c:v>
                </c:pt>
                <c:pt idx="35">
                  <c:v>-207.16103736356862</c:v>
                </c:pt>
                <c:pt idx="36">
                  <c:v>-234.23989793203813</c:v>
                </c:pt>
                <c:pt idx="37">
                  <c:v>-234.23989793203813</c:v>
                </c:pt>
                <c:pt idx="38">
                  <c:v>-234.23989793203813</c:v>
                </c:pt>
                <c:pt idx="39">
                  <c:v>-241.94929505380799</c:v>
                </c:pt>
                <c:pt idx="40">
                  <c:v>-241.94929505380799</c:v>
                </c:pt>
                <c:pt idx="41">
                  <c:v>-241.94929505380799</c:v>
                </c:pt>
                <c:pt idx="42">
                  <c:v>-218.65620852527184</c:v>
                </c:pt>
                <c:pt idx="43">
                  <c:v>-218.65620852527184</c:v>
                </c:pt>
                <c:pt idx="44">
                  <c:v>-218.65620852527184</c:v>
                </c:pt>
                <c:pt idx="45">
                  <c:v>-218.65620852527184</c:v>
                </c:pt>
                <c:pt idx="46">
                  <c:v>-218.65620852527184</c:v>
                </c:pt>
                <c:pt idx="47">
                  <c:v>-218.65620852527184</c:v>
                </c:pt>
                <c:pt idx="48">
                  <c:v>-247.46969180123983</c:v>
                </c:pt>
                <c:pt idx="49">
                  <c:v>-247.46969180123983</c:v>
                </c:pt>
                <c:pt idx="50">
                  <c:v>-247.46969180123983</c:v>
                </c:pt>
                <c:pt idx="51">
                  <c:v>-256.27227262401141</c:v>
                </c:pt>
                <c:pt idx="52">
                  <c:v>-256.27227262401141</c:v>
                </c:pt>
                <c:pt idx="53">
                  <c:v>-256.27227262401141</c:v>
                </c:pt>
                <c:pt idx="54">
                  <c:v>-231.78188741619533</c:v>
                </c:pt>
                <c:pt idx="55">
                  <c:v>-231.78188741619533</c:v>
                </c:pt>
                <c:pt idx="56">
                  <c:v>-231.78188741619533</c:v>
                </c:pt>
                <c:pt idx="57">
                  <c:v>-231.78188741619533</c:v>
                </c:pt>
                <c:pt idx="58">
                  <c:v>-231.78188741619533</c:v>
                </c:pt>
                <c:pt idx="59">
                  <c:v>-231.78188741619533</c:v>
                </c:pt>
                <c:pt idx="60">
                  <c:v>-231.78188741619533</c:v>
                </c:pt>
                <c:pt idx="61">
                  <c:v>-231.78188741619533</c:v>
                </c:pt>
                <c:pt idx="62">
                  <c:v>-231.78188741619533</c:v>
                </c:pt>
                <c:pt idx="63">
                  <c:v>-231.78188741619533</c:v>
                </c:pt>
                <c:pt idx="64">
                  <c:v>-231.78188741619533</c:v>
                </c:pt>
                <c:pt idx="65">
                  <c:v>-231.78188741619533</c:v>
                </c:pt>
                <c:pt idx="66">
                  <c:v>-265.03856198077671</c:v>
                </c:pt>
                <c:pt idx="67">
                  <c:v>-265.03856198077671</c:v>
                </c:pt>
                <c:pt idx="68">
                  <c:v>-265.03856198077671</c:v>
                </c:pt>
                <c:pt idx="69">
                  <c:v>-281.99484896722873</c:v>
                </c:pt>
                <c:pt idx="70">
                  <c:v>-281.99484896722873</c:v>
                </c:pt>
                <c:pt idx="71">
                  <c:v>-281.99484896722873</c:v>
                </c:pt>
                <c:pt idx="72">
                  <c:v>-257.08050103128528</c:v>
                </c:pt>
                <c:pt idx="73">
                  <c:v>-257.08050103128528</c:v>
                </c:pt>
                <c:pt idx="74">
                  <c:v>-257.08050103128528</c:v>
                </c:pt>
                <c:pt idx="75">
                  <c:v>-257.08050103128528</c:v>
                </c:pt>
                <c:pt idx="76">
                  <c:v>-257.08050103128528</c:v>
                </c:pt>
                <c:pt idx="77">
                  <c:v>-257.08050103128528</c:v>
                </c:pt>
                <c:pt idx="78">
                  <c:v>-268.94989205210459</c:v>
                </c:pt>
                <c:pt idx="79">
                  <c:v>-268.94989205210459</c:v>
                </c:pt>
                <c:pt idx="80">
                  <c:v>-268.94989205210459</c:v>
                </c:pt>
                <c:pt idx="81">
                  <c:v>-302.06008414691058</c:v>
                </c:pt>
                <c:pt idx="82">
                  <c:v>-302.06008414691058</c:v>
                </c:pt>
                <c:pt idx="83">
                  <c:v>-302.06008414691058</c:v>
                </c:pt>
                <c:pt idx="84">
                  <c:v>-306.11845927468954</c:v>
                </c:pt>
                <c:pt idx="85">
                  <c:v>-306.11845927468954</c:v>
                </c:pt>
                <c:pt idx="86">
                  <c:v>-306.11845927468954</c:v>
                </c:pt>
                <c:pt idx="87">
                  <c:v>-275</c:v>
                </c:pt>
                <c:pt idx="88">
                  <c:v>-275</c:v>
                </c:pt>
                <c:pt idx="89">
                  <c:v>-275</c:v>
                </c:pt>
                <c:pt idx="90">
                  <c:v>-275</c:v>
                </c:pt>
                <c:pt idx="91">
                  <c:v>-275</c:v>
                </c:pt>
                <c:pt idx="92">
                  <c:v>-275</c:v>
                </c:pt>
                <c:pt idx="93">
                  <c:v>-275</c:v>
                </c:pt>
                <c:pt idx="94">
                  <c:v>-275</c:v>
                </c:pt>
                <c:pt idx="95">
                  <c:v>-275</c:v>
                </c:pt>
                <c:pt idx="96">
                  <c:v>-308.07538453769104</c:v>
                </c:pt>
                <c:pt idx="97">
                  <c:v>-308.07538453769104</c:v>
                </c:pt>
                <c:pt idx="98">
                  <c:v>-308.07538453769104</c:v>
                </c:pt>
                <c:pt idx="99">
                  <c:v>-345.80467629124911</c:v>
                </c:pt>
                <c:pt idx="100">
                  <c:v>-345.80467629124911</c:v>
                </c:pt>
                <c:pt idx="101">
                  <c:v>-345.80467629124911</c:v>
                </c:pt>
                <c:pt idx="102">
                  <c:v>-339.50517965179012</c:v>
                </c:pt>
                <c:pt idx="103">
                  <c:v>-339.50517965179012</c:v>
                </c:pt>
                <c:pt idx="104">
                  <c:v>-339.50517965179012</c:v>
                </c:pt>
                <c:pt idx="105">
                  <c:v>-357.62836106738865</c:v>
                </c:pt>
                <c:pt idx="106">
                  <c:v>-357.62836106738865</c:v>
                </c:pt>
                <c:pt idx="107">
                  <c:v>-357.62836106738865</c:v>
                </c:pt>
                <c:pt idx="108">
                  <c:v>-375.75154248298691</c:v>
                </c:pt>
                <c:pt idx="109">
                  <c:v>-375.75154248298691</c:v>
                </c:pt>
                <c:pt idx="110">
                  <c:v>-375.75154248298691</c:v>
                </c:pt>
                <c:pt idx="111">
                  <c:v>-454.88099617061789</c:v>
                </c:pt>
                <c:pt idx="112">
                  <c:v>-454.88099617061789</c:v>
                </c:pt>
                <c:pt idx="113">
                  <c:v>-454.88099617061789</c:v>
                </c:pt>
                <c:pt idx="114">
                  <c:v>-499.77323562934453</c:v>
                </c:pt>
                <c:pt idx="115">
                  <c:v>-499.77323562934453</c:v>
                </c:pt>
                <c:pt idx="116">
                  <c:v>-499.77323562934453</c:v>
                </c:pt>
                <c:pt idx="117">
                  <c:v>-478.24083032712389</c:v>
                </c:pt>
                <c:pt idx="118">
                  <c:v>-478.24083032712389</c:v>
                </c:pt>
                <c:pt idx="119">
                  <c:v>-478.24083032712389</c:v>
                </c:pt>
                <c:pt idx="120">
                  <c:v>-493.24310473134693</c:v>
                </c:pt>
                <c:pt idx="121">
                  <c:v>-493.24310473134693</c:v>
                </c:pt>
                <c:pt idx="122">
                  <c:v>-493.24310473134693</c:v>
                </c:pt>
                <c:pt idx="123">
                  <c:v>-599.20942527475097</c:v>
                </c:pt>
                <c:pt idx="124">
                  <c:v>-599.20942527475097</c:v>
                </c:pt>
                <c:pt idx="125">
                  <c:v>-599.20942527475097</c:v>
                </c:pt>
                <c:pt idx="126">
                  <c:v>-676.06387937815396</c:v>
                </c:pt>
                <c:pt idx="127">
                  <c:v>-676.06387937815396</c:v>
                </c:pt>
                <c:pt idx="128">
                  <c:v>-676.06387937815396</c:v>
                </c:pt>
                <c:pt idx="129">
                  <c:v>-635.12199154512416</c:v>
                </c:pt>
                <c:pt idx="130">
                  <c:v>-635.12199154512416</c:v>
                </c:pt>
                <c:pt idx="131">
                  <c:v>-635.12199154512416</c:v>
                </c:pt>
                <c:pt idx="132">
                  <c:v>-690.78447653502724</c:v>
                </c:pt>
                <c:pt idx="133">
                  <c:v>-690.78447653502724</c:v>
                </c:pt>
                <c:pt idx="134">
                  <c:v>-690.78447653502724</c:v>
                </c:pt>
                <c:pt idx="135">
                  <c:v>-719.7927632165065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F4-43A6-953E-010F2EC8782F}"/>
            </c:ext>
          </c:extLst>
        </c:ser>
        <c:ser>
          <c:idx val="2"/>
          <c:order val="2"/>
          <c:tx>
            <c:v>Area 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Path!$N$29:$N$164</c:f>
              <c:numCache>
                <c:formatCode>0.0</c:formatCod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13.326196171056068</c:v>
                </c:pt>
                <c:pt idx="4">
                  <c:v>13.326196171056068</c:v>
                </c:pt>
                <c:pt idx="5">
                  <c:v>13.326196171056068</c:v>
                </c:pt>
                <c:pt idx="6">
                  <c:v>26.652392342112137</c:v>
                </c:pt>
                <c:pt idx="7">
                  <c:v>26.652392342112137</c:v>
                </c:pt>
                <c:pt idx="8">
                  <c:v>26.652392342112137</c:v>
                </c:pt>
                <c:pt idx="9">
                  <c:v>28.204413342951923</c:v>
                </c:pt>
                <c:pt idx="10">
                  <c:v>28.204413342951923</c:v>
                </c:pt>
                <c:pt idx="11">
                  <c:v>28.204413342951923</c:v>
                </c:pt>
                <c:pt idx="12">
                  <c:v>30.326226929347794</c:v>
                </c:pt>
                <c:pt idx="13">
                  <c:v>30.326226929347794</c:v>
                </c:pt>
                <c:pt idx="14">
                  <c:v>30.326226929347794</c:v>
                </c:pt>
                <c:pt idx="15">
                  <c:v>31.773059230744995</c:v>
                </c:pt>
                <c:pt idx="16">
                  <c:v>31.773059230744995</c:v>
                </c:pt>
                <c:pt idx="17">
                  <c:v>31.773059230744995</c:v>
                </c:pt>
                <c:pt idx="18">
                  <c:v>33.678059230744992</c:v>
                </c:pt>
                <c:pt idx="19">
                  <c:v>33.678059230744992</c:v>
                </c:pt>
                <c:pt idx="20">
                  <c:v>33.678059230744992</c:v>
                </c:pt>
                <c:pt idx="21">
                  <c:v>35.309248501324277</c:v>
                </c:pt>
                <c:pt idx="22">
                  <c:v>35.309248501324277</c:v>
                </c:pt>
                <c:pt idx="23">
                  <c:v>35.309248501324277</c:v>
                </c:pt>
                <c:pt idx="24">
                  <c:v>37.56081409519463</c:v>
                </c:pt>
                <c:pt idx="25">
                  <c:v>37.56081409519463</c:v>
                </c:pt>
                <c:pt idx="26">
                  <c:v>37.56081409519463</c:v>
                </c:pt>
                <c:pt idx="27">
                  <c:v>39.112835096034416</c:v>
                </c:pt>
                <c:pt idx="28">
                  <c:v>39.112835096034416</c:v>
                </c:pt>
                <c:pt idx="29">
                  <c:v>39.112835096034416</c:v>
                </c:pt>
                <c:pt idx="30">
                  <c:v>48.995626408424783</c:v>
                </c:pt>
                <c:pt idx="31">
                  <c:v>48.995626408424783</c:v>
                </c:pt>
                <c:pt idx="32">
                  <c:v>48.995626408424783</c:v>
                </c:pt>
                <c:pt idx="33">
                  <c:v>58.878417720815158</c:v>
                </c:pt>
                <c:pt idx="34">
                  <c:v>58.878417720815158</c:v>
                </c:pt>
                <c:pt idx="35">
                  <c:v>58.878417720815158</c:v>
                </c:pt>
                <c:pt idx="36">
                  <c:v>60.600120150148001</c:v>
                </c:pt>
                <c:pt idx="37">
                  <c:v>60.600120150148001</c:v>
                </c:pt>
                <c:pt idx="38">
                  <c:v>60.600120150148001</c:v>
                </c:pt>
                <c:pt idx="39">
                  <c:v>62.971836341352926</c:v>
                </c:pt>
                <c:pt idx="40">
                  <c:v>62.971836341352926</c:v>
                </c:pt>
                <c:pt idx="41">
                  <c:v>62.971836341352926</c:v>
                </c:pt>
                <c:pt idx="42">
                  <c:v>64.60302561193221</c:v>
                </c:pt>
                <c:pt idx="43">
                  <c:v>64.60302561193221</c:v>
                </c:pt>
                <c:pt idx="44">
                  <c:v>64.60302561193221</c:v>
                </c:pt>
                <c:pt idx="45">
                  <c:v>66.508025611932212</c:v>
                </c:pt>
                <c:pt idx="46">
                  <c:v>66.508025611932212</c:v>
                </c:pt>
                <c:pt idx="47">
                  <c:v>66.508025611932212</c:v>
                </c:pt>
                <c:pt idx="48">
                  <c:v>68.333079843555794</c:v>
                </c:pt>
                <c:pt idx="49">
                  <c:v>68.333079843555794</c:v>
                </c:pt>
                <c:pt idx="50">
                  <c:v>68.333079843555794</c:v>
                </c:pt>
                <c:pt idx="51">
                  <c:v>70.842080083399907</c:v>
                </c:pt>
                <c:pt idx="52">
                  <c:v>70.842080083399907</c:v>
                </c:pt>
                <c:pt idx="53">
                  <c:v>70.842080083399907</c:v>
                </c:pt>
                <c:pt idx="54">
                  <c:v>72.563782512732757</c:v>
                </c:pt>
                <c:pt idx="55">
                  <c:v>72.563782512732757</c:v>
                </c:pt>
                <c:pt idx="56">
                  <c:v>72.563782512732757</c:v>
                </c:pt>
                <c:pt idx="57">
                  <c:v>86.503115826802713</c:v>
                </c:pt>
                <c:pt idx="58">
                  <c:v>86.503115826802713</c:v>
                </c:pt>
                <c:pt idx="59">
                  <c:v>86.503115826802713</c:v>
                </c:pt>
                <c:pt idx="60">
                  <c:v>98.537449140872681</c:v>
                </c:pt>
                <c:pt idx="61">
                  <c:v>98.537449140872681</c:v>
                </c:pt>
                <c:pt idx="62">
                  <c:v>98.537449140872681</c:v>
                </c:pt>
                <c:pt idx="63">
                  <c:v>100.44244914087268</c:v>
                </c:pt>
                <c:pt idx="64">
                  <c:v>100.44244914087268</c:v>
                </c:pt>
                <c:pt idx="65">
                  <c:v>100.44244914087268</c:v>
                </c:pt>
                <c:pt idx="66">
                  <c:v>102.46670505450486</c:v>
                </c:pt>
                <c:pt idx="67">
                  <c:v>102.46670505450486</c:v>
                </c:pt>
                <c:pt idx="68">
                  <c:v>102.46670505450486</c:v>
                </c:pt>
                <c:pt idx="69">
                  <c:v>105.19222059330517</c:v>
                </c:pt>
                <c:pt idx="70">
                  <c:v>105.19222059330517</c:v>
                </c:pt>
                <c:pt idx="71">
                  <c:v>105.19222059330517</c:v>
                </c:pt>
                <c:pt idx="72">
                  <c:v>107.01727482492875</c:v>
                </c:pt>
                <c:pt idx="73">
                  <c:v>107.01727482492875</c:v>
                </c:pt>
                <c:pt idx="74">
                  <c:v>107.01727482492875</c:v>
                </c:pt>
                <c:pt idx="75">
                  <c:v>125.04436111283468</c:v>
                </c:pt>
                <c:pt idx="76">
                  <c:v>125.04436111283468</c:v>
                </c:pt>
                <c:pt idx="77">
                  <c:v>125.04436111283468</c:v>
                </c:pt>
                <c:pt idx="78">
                  <c:v>143.12660671249412</c:v>
                </c:pt>
                <c:pt idx="79">
                  <c:v>143.12660671249412</c:v>
                </c:pt>
                <c:pt idx="80">
                  <c:v>143.12660671249412</c:v>
                </c:pt>
                <c:pt idx="81">
                  <c:v>145.29196104320278</c:v>
                </c:pt>
                <c:pt idx="82">
                  <c:v>145.29196104320278</c:v>
                </c:pt>
                <c:pt idx="83">
                  <c:v>145.29196104320278</c:v>
                </c:pt>
                <c:pt idx="84">
                  <c:v>148.32073622500781</c:v>
                </c:pt>
                <c:pt idx="85">
                  <c:v>148.32073622500781</c:v>
                </c:pt>
                <c:pt idx="86">
                  <c:v>148.32073622500781</c:v>
                </c:pt>
                <c:pt idx="87">
                  <c:v>150.43845191045745</c:v>
                </c:pt>
                <c:pt idx="88">
                  <c:v>150.43845191045745</c:v>
                </c:pt>
                <c:pt idx="89">
                  <c:v>150.43845191045745</c:v>
                </c:pt>
                <c:pt idx="90">
                  <c:v>151.39095191045743</c:v>
                </c:pt>
                <c:pt idx="91">
                  <c:v>151.39095191045743</c:v>
                </c:pt>
                <c:pt idx="92">
                  <c:v>151.39095191045743</c:v>
                </c:pt>
                <c:pt idx="93">
                  <c:v>152.34345191045742</c:v>
                </c:pt>
                <c:pt idx="94">
                  <c:v>152.34345191045742</c:v>
                </c:pt>
                <c:pt idx="95">
                  <c:v>152.34345191045742</c:v>
                </c:pt>
                <c:pt idx="96">
                  <c:v>154.53041311724508</c:v>
                </c:pt>
                <c:pt idx="97">
                  <c:v>154.53041311724508</c:v>
                </c:pt>
                <c:pt idx="98">
                  <c:v>154.53041311724508</c:v>
                </c:pt>
                <c:pt idx="99">
                  <c:v>157.75521390333614</c:v>
                </c:pt>
                <c:pt idx="100">
                  <c:v>157.75521390333614</c:v>
                </c:pt>
                <c:pt idx="101">
                  <c:v>157.75521390333614</c:v>
                </c:pt>
                <c:pt idx="102">
                  <c:v>159.64723319224936</c:v>
                </c:pt>
                <c:pt idx="103">
                  <c:v>159.64723319224936</c:v>
                </c:pt>
                <c:pt idx="104">
                  <c:v>159.64723319224936</c:v>
                </c:pt>
                <c:pt idx="105">
                  <c:v>161.93076192081796</c:v>
                </c:pt>
                <c:pt idx="106">
                  <c:v>161.93076192081796</c:v>
                </c:pt>
                <c:pt idx="107">
                  <c:v>161.93076192081796</c:v>
                </c:pt>
                <c:pt idx="108">
                  <c:v>164.2142906493865</c:v>
                </c:pt>
                <c:pt idx="109">
                  <c:v>164.2142906493865</c:v>
                </c:pt>
                <c:pt idx="110">
                  <c:v>164.2142906493865</c:v>
                </c:pt>
                <c:pt idx="111">
                  <c:v>167.58396296436385</c:v>
                </c:pt>
                <c:pt idx="112">
                  <c:v>167.58396296436385</c:v>
                </c:pt>
                <c:pt idx="113">
                  <c:v>167.58396296436385</c:v>
                </c:pt>
                <c:pt idx="114">
                  <c:v>172.37291521963715</c:v>
                </c:pt>
                <c:pt idx="115">
                  <c:v>172.37291521963715</c:v>
                </c:pt>
                <c:pt idx="116">
                  <c:v>172.37291521963715</c:v>
                </c:pt>
                <c:pt idx="117">
                  <c:v>175.77576287901931</c:v>
                </c:pt>
                <c:pt idx="118">
                  <c:v>175.77576287901931</c:v>
                </c:pt>
                <c:pt idx="119">
                  <c:v>175.77576287901931</c:v>
                </c:pt>
                <c:pt idx="120">
                  <c:v>177.66605596886427</c:v>
                </c:pt>
                <c:pt idx="121">
                  <c:v>177.66605596886427</c:v>
                </c:pt>
                <c:pt idx="122">
                  <c:v>177.66605596886427</c:v>
                </c:pt>
                <c:pt idx="123">
                  <c:v>182.14674262403247</c:v>
                </c:pt>
                <c:pt idx="124">
                  <c:v>182.14674262403247</c:v>
                </c:pt>
                <c:pt idx="125">
                  <c:v>182.14674262403247</c:v>
                </c:pt>
                <c:pt idx="126">
                  <c:v>188.05677514395433</c:v>
                </c:pt>
                <c:pt idx="127">
                  <c:v>188.05677514395433</c:v>
                </c:pt>
                <c:pt idx="128">
                  <c:v>188.05677514395433</c:v>
                </c:pt>
                <c:pt idx="129">
                  <c:v>193.1510242733134</c:v>
                </c:pt>
                <c:pt idx="130">
                  <c:v>193.1510242733134</c:v>
                </c:pt>
                <c:pt idx="131">
                  <c:v>193.1510242733134</c:v>
                </c:pt>
                <c:pt idx="132">
                  <c:v>200.16452155412526</c:v>
                </c:pt>
                <c:pt idx="133">
                  <c:v>200.16452155412526</c:v>
                </c:pt>
                <c:pt idx="134">
                  <c:v>200.16452155412526</c:v>
                </c:pt>
                <c:pt idx="135">
                  <c:v>203.81957827317888</c:v>
                </c:pt>
              </c:numCache>
            </c:numRef>
          </c:xVal>
          <c:yVal>
            <c:numRef>
              <c:f>Path!$U$29:$U$164</c:f>
              <c:numCache>
                <c:formatCode>0</c:formatCode>
                <c:ptCount val="136"/>
                <c:pt idx="0">
                  <c:v>175</c:v>
                </c:pt>
                <c:pt idx="1">
                  <c:v>175</c:v>
                </c:pt>
                <c:pt idx="2">
                  <c:v>175</c:v>
                </c:pt>
                <c:pt idx="3">
                  <c:v>183.74746896170421</c:v>
                </c:pt>
                <c:pt idx="4">
                  <c:v>183.74746896170421</c:v>
                </c:pt>
                <c:pt idx="5">
                  <c:v>183.74746896170421</c:v>
                </c:pt>
                <c:pt idx="6">
                  <c:v>192.49493792340846</c:v>
                </c:pt>
                <c:pt idx="7">
                  <c:v>192.49493792340846</c:v>
                </c:pt>
                <c:pt idx="8">
                  <c:v>192.49493792340846</c:v>
                </c:pt>
                <c:pt idx="9">
                  <c:v>193.51370241993044</c:v>
                </c:pt>
                <c:pt idx="10">
                  <c:v>193.51370241993044</c:v>
                </c:pt>
                <c:pt idx="11">
                  <c:v>193.51370241993044</c:v>
                </c:pt>
                <c:pt idx="12">
                  <c:v>194.9064853454762</c:v>
                </c:pt>
                <c:pt idx="13">
                  <c:v>194.9064853454762</c:v>
                </c:pt>
                <c:pt idx="14">
                  <c:v>194.9064853454762</c:v>
                </c:pt>
                <c:pt idx="15">
                  <c:v>195.85620276572189</c:v>
                </c:pt>
                <c:pt idx="16">
                  <c:v>195.85620276572189</c:v>
                </c:pt>
                <c:pt idx="17">
                  <c:v>195.85620276572189</c:v>
                </c:pt>
                <c:pt idx="18">
                  <c:v>197.10666675095419</c:v>
                </c:pt>
                <c:pt idx="19">
                  <c:v>197.10666675095419</c:v>
                </c:pt>
                <c:pt idx="20">
                  <c:v>197.10666675095419</c:v>
                </c:pt>
                <c:pt idx="21">
                  <c:v>198.1773982133987</c:v>
                </c:pt>
                <c:pt idx="22">
                  <c:v>198.1773982133987</c:v>
                </c:pt>
                <c:pt idx="23">
                  <c:v>198.1773982133987</c:v>
                </c:pt>
                <c:pt idx="24">
                  <c:v>199.65535185409325</c:v>
                </c:pt>
                <c:pt idx="25">
                  <c:v>199.65535185409325</c:v>
                </c:pt>
                <c:pt idx="26">
                  <c:v>199.65535185409325</c:v>
                </c:pt>
                <c:pt idx="27">
                  <c:v>200.67411635061524</c:v>
                </c:pt>
                <c:pt idx="28">
                  <c:v>200.67411635061524</c:v>
                </c:pt>
                <c:pt idx="29">
                  <c:v>200.67411635061524</c:v>
                </c:pt>
                <c:pt idx="30">
                  <c:v>207.16129462342946</c:v>
                </c:pt>
                <c:pt idx="31">
                  <c:v>207.16129462342946</c:v>
                </c:pt>
                <c:pt idx="32">
                  <c:v>207.16129462342946</c:v>
                </c:pt>
                <c:pt idx="33">
                  <c:v>213.64847289624367</c:v>
                </c:pt>
                <c:pt idx="34">
                  <c:v>213.64847289624367</c:v>
                </c:pt>
                <c:pt idx="35">
                  <c:v>213.64847289624367</c:v>
                </c:pt>
                <c:pt idx="36">
                  <c:v>214.77861824068867</c:v>
                </c:pt>
                <c:pt idx="37">
                  <c:v>214.77861824068867</c:v>
                </c:pt>
                <c:pt idx="38">
                  <c:v>214.77861824068867</c:v>
                </c:pt>
                <c:pt idx="39">
                  <c:v>216.33544012010819</c:v>
                </c:pt>
                <c:pt idx="40">
                  <c:v>216.33544012010819</c:v>
                </c:pt>
                <c:pt idx="41">
                  <c:v>216.33544012010819</c:v>
                </c:pt>
                <c:pt idx="42">
                  <c:v>217.4061715825527</c:v>
                </c:pt>
                <c:pt idx="43">
                  <c:v>217.4061715825527</c:v>
                </c:pt>
                <c:pt idx="44">
                  <c:v>217.4061715825527</c:v>
                </c:pt>
                <c:pt idx="45">
                  <c:v>218.656635567785</c:v>
                </c:pt>
                <c:pt idx="46">
                  <c:v>218.656635567785</c:v>
                </c:pt>
                <c:pt idx="47">
                  <c:v>218.656635567785</c:v>
                </c:pt>
                <c:pt idx="48">
                  <c:v>219.85462222801658</c:v>
                </c:pt>
                <c:pt idx="49">
                  <c:v>219.85462222801658</c:v>
                </c:pt>
                <c:pt idx="50">
                  <c:v>219.85462222801658</c:v>
                </c:pt>
                <c:pt idx="51">
                  <c:v>221.50155894133121</c:v>
                </c:pt>
                <c:pt idx="52">
                  <c:v>221.50155894133121</c:v>
                </c:pt>
                <c:pt idx="53">
                  <c:v>221.50155894133121</c:v>
                </c:pt>
                <c:pt idx="54">
                  <c:v>222.63170428577621</c:v>
                </c:pt>
                <c:pt idx="55">
                  <c:v>222.63170428577621</c:v>
                </c:pt>
                <c:pt idx="56">
                  <c:v>222.63170428577621</c:v>
                </c:pt>
                <c:pt idx="57">
                  <c:v>231.78164354425058</c:v>
                </c:pt>
                <c:pt idx="58">
                  <c:v>231.78164354425058</c:v>
                </c:pt>
                <c:pt idx="59">
                  <c:v>231.78164354425058</c:v>
                </c:pt>
                <c:pt idx="60">
                  <c:v>239.68111881749263</c:v>
                </c:pt>
                <c:pt idx="61">
                  <c:v>239.68111881749263</c:v>
                </c:pt>
                <c:pt idx="62">
                  <c:v>239.68111881749263</c:v>
                </c:pt>
                <c:pt idx="63">
                  <c:v>240.93158280272496</c:v>
                </c:pt>
                <c:pt idx="64">
                  <c:v>240.93158280272496</c:v>
                </c:pt>
                <c:pt idx="65">
                  <c:v>240.93158280272496</c:v>
                </c:pt>
                <c:pt idx="66">
                  <c:v>242.26032774597459</c:v>
                </c:pt>
                <c:pt idx="67">
                  <c:v>242.26032774597459</c:v>
                </c:pt>
                <c:pt idx="68">
                  <c:v>242.26032774597459</c:v>
                </c:pt>
                <c:pt idx="69">
                  <c:v>244.04938760028477</c:v>
                </c:pt>
                <c:pt idx="70">
                  <c:v>244.04938760028477</c:v>
                </c:pt>
                <c:pt idx="71">
                  <c:v>244.04938760028477</c:v>
                </c:pt>
                <c:pt idx="72">
                  <c:v>245.24737426051632</c:v>
                </c:pt>
                <c:pt idx="73">
                  <c:v>245.24737426051632</c:v>
                </c:pt>
                <c:pt idx="74">
                  <c:v>245.24737426051632</c:v>
                </c:pt>
                <c:pt idx="75">
                  <c:v>257.08056174697401</c:v>
                </c:pt>
                <c:pt idx="76">
                  <c:v>257.08056174697401</c:v>
                </c:pt>
                <c:pt idx="77">
                  <c:v>257.08056174697401</c:v>
                </c:pt>
                <c:pt idx="78">
                  <c:v>268.94995644224957</c:v>
                </c:pt>
                <c:pt idx="79">
                  <c:v>268.94995644224957</c:v>
                </c:pt>
                <c:pt idx="80">
                  <c:v>268.94995644224957</c:v>
                </c:pt>
                <c:pt idx="81">
                  <c:v>270.37132001485742</c:v>
                </c:pt>
                <c:pt idx="82">
                  <c:v>270.37132001485742</c:v>
                </c:pt>
                <c:pt idx="83">
                  <c:v>270.37132001485742</c:v>
                </c:pt>
                <c:pt idx="84">
                  <c:v>272.35944299869612</c:v>
                </c:pt>
                <c:pt idx="85">
                  <c:v>272.35944299869612</c:v>
                </c:pt>
                <c:pt idx="86">
                  <c:v>272.35944299869612</c:v>
                </c:pt>
                <c:pt idx="87">
                  <c:v>273.74953601476767</c:v>
                </c:pt>
                <c:pt idx="88">
                  <c:v>273.74953601476767</c:v>
                </c:pt>
                <c:pt idx="89">
                  <c:v>273.74953601476767</c:v>
                </c:pt>
                <c:pt idx="90">
                  <c:v>274.37476800738386</c:v>
                </c:pt>
                <c:pt idx="91">
                  <c:v>266.79086965919288</c:v>
                </c:pt>
                <c:pt idx="92">
                  <c:v>266.79086965919288</c:v>
                </c:pt>
                <c:pt idx="93">
                  <c:v>275</c:v>
                </c:pt>
                <c:pt idx="94">
                  <c:v>275</c:v>
                </c:pt>
                <c:pt idx="95">
                  <c:v>275</c:v>
                </c:pt>
                <c:pt idx="96">
                  <c:v>293.84834603339533</c:v>
                </c:pt>
                <c:pt idx="97">
                  <c:v>293.84834603339533</c:v>
                </c:pt>
                <c:pt idx="98">
                  <c:v>293.84834603339533</c:v>
                </c:pt>
                <c:pt idx="99">
                  <c:v>321.64132238631845</c:v>
                </c:pt>
                <c:pt idx="100">
                  <c:v>321.64132238631845</c:v>
                </c:pt>
                <c:pt idx="101">
                  <c:v>321.64132238631845</c:v>
                </c:pt>
                <c:pt idx="102">
                  <c:v>337.94770868554167</c:v>
                </c:pt>
                <c:pt idx="103">
                  <c:v>337.94770868554167</c:v>
                </c:pt>
                <c:pt idx="104">
                  <c:v>337.94770868554167</c:v>
                </c:pt>
                <c:pt idx="105">
                  <c:v>357.62832282706137</c:v>
                </c:pt>
                <c:pt idx="106">
                  <c:v>357.62832282706137</c:v>
                </c:pt>
                <c:pt idx="107">
                  <c:v>357.62832282706137</c:v>
                </c:pt>
                <c:pt idx="108">
                  <c:v>377.30893696858055</c:v>
                </c:pt>
                <c:pt idx="109">
                  <c:v>377.30893696858055</c:v>
                </c:pt>
                <c:pt idx="110">
                  <c:v>377.30893696858055</c:v>
                </c:pt>
                <c:pt idx="111">
                  <c:v>406.35048997588638</c:v>
                </c:pt>
                <c:pt idx="112">
                  <c:v>406.35048997588638</c:v>
                </c:pt>
                <c:pt idx="113">
                  <c:v>406.35048997588638</c:v>
                </c:pt>
                <c:pt idx="114">
                  <c:v>447.62412069446009</c:v>
                </c:pt>
                <c:pt idx="115">
                  <c:v>447.62412069446009</c:v>
                </c:pt>
                <c:pt idx="116">
                  <c:v>447.62412069446009</c:v>
                </c:pt>
                <c:pt idx="117">
                  <c:v>476.95159572414946</c:v>
                </c:pt>
                <c:pt idx="118">
                  <c:v>476.95159572414946</c:v>
                </c:pt>
                <c:pt idx="119">
                  <c:v>476.95159572414946</c:v>
                </c:pt>
                <c:pt idx="120">
                  <c:v>493.24310476022777</c:v>
                </c:pt>
                <c:pt idx="121">
                  <c:v>493.24310476022777</c:v>
                </c:pt>
                <c:pt idx="122">
                  <c:v>493.24310476022777</c:v>
                </c:pt>
                <c:pt idx="123">
                  <c:v>531.85994546216102</c:v>
                </c:pt>
                <c:pt idx="124">
                  <c:v>531.85994546216102</c:v>
                </c:pt>
                <c:pt idx="125">
                  <c:v>531.85994546216102</c:v>
                </c:pt>
                <c:pt idx="126">
                  <c:v>582.79561714137174</c:v>
                </c:pt>
                <c:pt idx="127">
                  <c:v>582.79561714137174</c:v>
                </c:pt>
                <c:pt idx="128">
                  <c:v>582.79561714137174</c:v>
                </c:pt>
                <c:pt idx="129">
                  <c:v>626.70045188305426</c:v>
                </c:pt>
                <c:pt idx="130">
                  <c:v>626.70045188305426</c:v>
                </c:pt>
                <c:pt idx="131">
                  <c:v>626.70045188305426</c:v>
                </c:pt>
                <c:pt idx="132">
                  <c:v>687.14634513563362</c:v>
                </c:pt>
                <c:pt idx="133">
                  <c:v>687.14634513563362</c:v>
                </c:pt>
                <c:pt idx="134">
                  <c:v>687.14634513563362</c:v>
                </c:pt>
                <c:pt idx="135">
                  <c:v>718.64748635322371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F4-43A6-953E-010F2EC8782F}"/>
            </c:ext>
          </c:extLst>
        </c:ser>
        <c:ser>
          <c:idx val="3"/>
          <c:order val="3"/>
          <c:tx>
            <c:v>Area 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Path!$N$29:$N$164</c:f>
              <c:numCache>
                <c:formatCode>0.0</c:formatCod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13.326196171056068</c:v>
                </c:pt>
                <c:pt idx="4">
                  <c:v>13.326196171056068</c:v>
                </c:pt>
                <c:pt idx="5">
                  <c:v>13.326196171056068</c:v>
                </c:pt>
                <c:pt idx="6">
                  <c:v>26.652392342112137</c:v>
                </c:pt>
                <c:pt idx="7">
                  <c:v>26.652392342112137</c:v>
                </c:pt>
                <c:pt idx="8">
                  <c:v>26.652392342112137</c:v>
                </c:pt>
                <c:pt idx="9">
                  <c:v>28.204413342951923</c:v>
                </c:pt>
                <c:pt idx="10">
                  <c:v>28.204413342951923</c:v>
                </c:pt>
                <c:pt idx="11">
                  <c:v>28.204413342951923</c:v>
                </c:pt>
                <c:pt idx="12">
                  <c:v>30.326226929347794</c:v>
                </c:pt>
                <c:pt idx="13">
                  <c:v>30.326226929347794</c:v>
                </c:pt>
                <c:pt idx="14">
                  <c:v>30.326226929347794</c:v>
                </c:pt>
                <c:pt idx="15">
                  <c:v>31.773059230744995</c:v>
                </c:pt>
                <c:pt idx="16">
                  <c:v>31.773059230744995</c:v>
                </c:pt>
                <c:pt idx="17">
                  <c:v>31.773059230744995</c:v>
                </c:pt>
                <c:pt idx="18">
                  <c:v>33.678059230744992</c:v>
                </c:pt>
                <c:pt idx="19">
                  <c:v>33.678059230744992</c:v>
                </c:pt>
                <c:pt idx="20">
                  <c:v>33.678059230744992</c:v>
                </c:pt>
                <c:pt idx="21">
                  <c:v>35.309248501324277</c:v>
                </c:pt>
                <c:pt idx="22">
                  <c:v>35.309248501324277</c:v>
                </c:pt>
                <c:pt idx="23">
                  <c:v>35.309248501324277</c:v>
                </c:pt>
                <c:pt idx="24">
                  <c:v>37.56081409519463</c:v>
                </c:pt>
                <c:pt idx="25">
                  <c:v>37.56081409519463</c:v>
                </c:pt>
                <c:pt idx="26">
                  <c:v>37.56081409519463</c:v>
                </c:pt>
                <c:pt idx="27">
                  <c:v>39.112835096034416</c:v>
                </c:pt>
                <c:pt idx="28">
                  <c:v>39.112835096034416</c:v>
                </c:pt>
                <c:pt idx="29">
                  <c:v>39.112835096034416</c:v>
                </c:pt>
                <c:pt idx="30">
                  <c:v>48.995626408424783</c:v>
                </c:pt>
                <c:pt idx="31">
                  <c:v>48.995626408424783</c:v>
                </c:pt>
                <c:pt idx="32">
                  <c:v>48.995626408424783</c:v>
                </c:pt>
                <c:pt idx="33">
                  <c:v>58.878417720815158</c:v>
                </c:pt>
                <c:pt idx="34">
                  <c:v>58.878417720815158</c:v>
                </c:pt>
                <c:pt idx="35">
                  <c:v>58.878417720815158</c:v>
                </c:pt>
                <c:pt idx="36">
                  <c:v>60.600120150148001</c:v>
                </c:pt>
                <c:pt idx="37">
                  <c:v>60.600120150148001</c:v>
                </c:pt>
                <c:pt idx="38">
                  <c:v>60.600120150148001</c:v>
                </c:pt>
                <c:pt idx="39">
                  <c:v>62.971836341352926</c:v>
                </c:pt>
                <c:pt idx="40">
                  <c:v>62.971836341352926</c:v>
                </c:pt>
                <c:pt idx="41">
                  <c:v>62.971836341352926</c:v>
                </c:pt>
                <c:pt idx="42">
                  <c:v>64.60302561193221</c:v>
                </c:pt>
                <c:pt idx="43">
                  <c:v>64.60302561193221</c:v>
                </c:pt>
                <c:pt idx="44">
                  <c:v>64.60302561193221</c:v>
                </c:pt>
                <c:pt idx="45">
                  <c:v>66.508025611932212</c:v>
                </c:pt>
                <c:pt idx="46">
                  <c:v>66.508025611932212</c:v>
                </c:pt>
                <c:pt idx="47">
                  <c:v>66.508025611932212</c:v>
                </c:pt>
                <c:pt idx="48">
                  <c:v>68.333079843555794</c:v>
                </c:pt>
                <c:pt idx="49">
                  <c:v>68.333079843555794</c:v>
                </c:pt>
                <c:pt idx="50">
                  <c:v>68.333079843555794</c:v>
                </c:pt>
                <c:pt idx="51">
                  <c:v>70.842080083399907</c:v>
                </c:pt>
                <c:pt idx="52">
                  <c:v>70.842080083399907</c:v>
                </c:pt>
                <c:pt idx="53">
                  <c:v>70.842080083399907</c:v>
                </c:pt>
                <c:pt idx="54">
                  <c:v>72.563782512732757</c:v>
                </c:pt>
                <c:pt idx="55">
                  <c:v>72.563782512732757</c:v>
                </c:pt>
                <c:pt idx="56">
                  <c:v>72.563782512732757</c:v>
                </c:pt>
                <c:pt idx="57">
                  <c:v>86.503115826802713</c:v>
                </c:pt>
                <c:pt idx="58">
                  <c:v>86.503115826802713</c:v>
                </c:pt>
                <c:pt idx="59">
                  <c:v>86.503115826802713</c:v>
                </c:pt>
                <c:pt idx="60">
                  <c:v>98.537449140872681</c:v>
                </c:pt>
                <c:pt idx="61">
                  <c:v>98.537449140872681</c:v>
                </c:pt>
                <c:pt idx="62">
                  <c:v>98.537449140872681</c:v>
                </c:pt>
                <c:pt idx="63">
                  <c:v>100.44244914087268</c:v>
                </c:pt>
                <c:pt idx="64">
                  <c:v>100.44244914087268</c:v>
                </c:pt>
                <c:pt idx="65">
                  <c:v>100.44244914087268</c:v>
                </c:pt>
                <c:pt idx="66">
                  <c:v>102.46670505450486</c:v>
                </c:pt>
                <c:pt idx="67">
                  <c:v>102.46670505450486</c:v>
                </c:pt>
                <c:pt idx="68">
                  <c:v>102.46670505450486</c:v>
                </c:pt>
                <c:pt idx="69">
                  <c:v>105.19222059330517</c:v>
                </c:pt>
                <c:pt idx="70">
                  <c:v>105.19222059330517</c:v>
                </c:pt>
                <c:pt idx="71">
                  <c:v>105.19222059330517</c:v>
                </c:pt>
                <c:pt idx="72">
                  <c:v>107.01727482492875</c:v>
                </c:pt>
                <c:pt idx="73">
                  <c:v>107.01727482492875</c:v>
                </c:pt>
                <c:pt idx="74">
                  <c:v>107.01727482492875</c:v>
                </c:pt>
                <c:pt idx="75">
                  <c:v>125.04436111283468</c:v>
                </c:pt>
                <c:pt idx="76">
                  <c:v>125.04436111283468</c:v>
                </c:pt>
                <c:pt idx="77">
                  <c:v>125.04436111283468</c:v>
                </c:pt>
                <c:pt idx="78">
                  <c:v>143.12660671249412</c:v>
                </c:pt>
                <c:pt idx="79">
                  <c:v>143.12660671249412</c:v>
                </c:pt>
                <c:pt idx="80">
                  <c:v>143.12660671249412</c:v>
                </c:pt>
                <c:pt idx="81">
                  <c:v>145.29196104320278</c:v>
                </c:pt>
                <c:pt idx="82">
                  <c:v>145.29196104320278</c:v>
                </c:pt>
                <c:pt idx="83">
                  <c:v>145.29196104320278</c:v>
                </c:pt>
                <c:pt idx="84">
                  <c:v>148.32073622500781</c:v>
                </c:pt>
                <c:pt idx="85">
                  <c:v>148.32073622500781</c:v>
                </c:pt>
                <c:pt idx="86">
                  <c:v>148.32073622500781</c:v>
                </c:pt>
                <c:pt idx="87">
                  <c:v>150.43845191045745</c:v>
                </c:pt>
                <c:pt idx="88">
                  <c:v>150.43845191045745</c:v>
                </c:pt>
                <c:pt idx="89">
                  <c:v>150.43845191045745</c:v>
                </c:pt>
                <c:pt idx="90">
                  <c:v>151.39095191045743</c:v>
                </c:pt>
                <c:pt idx="91">
                  <c:v>151.39095191045743</c:v>
                </c:pt>
                <c:pt idx="92">
                  <c:v>151.39095191045743</c:v>
                </c:pt>
                <c:pt idx="93">
                  <c:v>152.34345191045742</c:v>
                </c:pt>
                <c:pt idx="94">
                  <c:v>152.34345191045742</c:v>
                </c:pt>
                <c:pt idx="95">
                  <c:v>152.34345191045742</c:v>
                </c:pt>
                <c:pt idx="96">
                  <c:v>154.53041311724508</c:v>
                </c:pt>
                <c:pt idx="97">
                  <c:v>154.53041311724508</c:v>
                </c:pt>
                <c:pt idx="98">
                  <c:v>154.53041311724508</c:v>
                </c:pt>
                <c:pt idx="99">
                  <c:v>157.75521390333614</c:v>
                </c:pt>
                <c:pt idx="100">
                  <c:v>157.75521390333614</c:v>
                </c:pt>
                <c:pt idx="101">
                  <c:v>157.75521390333614</c:v>
                </c:pt>
                <c:pt idx="102">
                  <c:v>159.64723319224936</c:v>
                </c:pt>
                <c:pt idx="103">
                  <c:v>159.64723319224936</c:v>
                </c:pt>
                <c:pt idx="104">
                  <c:v>159.64723319224936</c:v>
                </c:pt>
                <c:pt idx="105">
                  <c:v>161.93076192081796</c:v>
                </c:pt>
                <c:pt idx="106">
                  <c:v>161.93076192081796</c:v>
                </c:pt>
                <c:pt idx="107">
                  <c:v>161.93076192081796</c:v>
                </c:pt>
                <c:pt idx="108">
                  <c:v>164.2142906493865</c:v>
                </c:pt>
                <c:pt idx="109">
                  <c:v>164.2142906493865</c:v>
                </c:pt>
                <c:pt idx="110">
                  <c:v>164.2142906493865</c:v>
                </c:pt>
                <c:pt idx="111">
                  <c:v>167.58396296436385</c:v>
                </c:pt>
                <c:pt idx="112">
                  <c:v>167.58396296436385</c:v>
                </c:pt>
                <c:pt idx="113">
                  <c:v>167.58396296436385</c:v>
                </c:pt>
                <c:pt idx="114">
                  <c:v>172.37291521963715</c:v>
                </c:pt>
                <c:pt idx="115">
                  <c:v>172.37291521963715</c:v>
                </c:pt>
                <c:pt idx="116">
                  <c:v>172.37291521963715</c:v>
                </c:pt>
                <c:pt idx="117">
                  <c:v>175.77576287901931</c:v>
                </c:pt>
                <c:pt idx="118">
                  <c:v>175.77576287901931</c:v>
                </c:pt>
                <c:pt idx="119">
                  <c:v>175.77576287901931</c:v>
                </c:pt>
                <c:pt idx="120">
                  <c:v>177.66605596886427</c:v>
                </c:pt>
                <c:pt idx="121">
                  <c:v>177.66605596886427</c:v>
                </c:pt>
                <c:pt idx="122">
                  <c:v>177.66605596886427</c:v>
                </c:pt>
                <c:pt idx="123">
                  <c:v>182.14674262403247</c:v>
                </c:pt>
                <c:pt idx="124">
                  <c:v>182.14674262403247</c:v>
                </c:pt>
                <c:pt idx="125">
                  <c:v>182.14674262403247</c:v>
                </c:pt>
                <c:pt idx="126">
                  <c:v>188.05677514395433</c:v>
                </c:pt>
                <c:pt idx="127">
                  <c:v>188.05677514395433</c:v>
                </c:pt>
                <c:pt idx="128">
                  <c:v>188.05677514395433</c:v>
                </c:pt>
                <c:pt idx="129">
                  <c:v>193.1510242733134</c:v>
                </c:pt>
                <c:pt idx="130">
                  <c:v>193.1510242733134</c:v>
                </c:pt>
                <c:pt idx="131">
                  <c:v>193.1510242733134</c:v>
                </c:pt>
                <c:pt idx="132">
                  <c:v>200.16452155412526</c:v>
                </c:pt>
                <c:pt idx="133">
                  <c:v>200.16452155412526</c:v>
                </c:pt>
                <c:pt idx="134">
                  <c:v>200.16452155412526</c:v>
                </c:pt>
                <c:pt idx="135">
                  <c:v>203.81957827317888</c:v>
                </c:pt>
              </c:numCache>
            </c:numRef>
          </c:xVal>
          <c:yVal>
            <c:numRef>
              <c:f>Path!$V$29:$V$164</c:f>
              <c:numCache>
                <c:formatCode>0</c:formatCode>
                <c:ptCount val="136"/>
                <c:pt idx="0">
                  <c:v>-175</c:v>
                </c:pt>
                <c:pt idx="1">
                  <c:v>-175</c:v>
                </c:pt>
                <c:pt idx="2">
                  <c:v>-175</c:v>
                </c:pt>
                <c:pt idx="3">
                  <c:v>-183.74746896170421</c:v>
                </c:pt>
                <c:pt idx="4">
                  <c:v>-183.74746896170421</c:v>
                </c:pt>
                <c:pt idx="5">
                  <c:v>-183.74746896170421</c:v>
                </c:pt>
                <c:pt idx="6">
                  <c:v>-192.49493792340846</c:v>
                </c:pt>
                <c:pt idx="7">
                  <c:v>-192.49493792340846</c:v>
                </c:pt>
                <c:pt idx="8">
                  <c:v>-192.49493792340846</c:v>
                </c:pt>
                <c:pt idx="9">
                  <c:v>-193.51370241993044</c:v>
                </c:pt>
                <c:pt idx="10">
                  <c:v>-193.51370241993044</c:v>
                </c:pt>
                <c:pt idx="11">
                  <c:v>-193.51370241993044</c:v>
                </c:pt>
                <c:pt idx="12">
                  <c:v>-194.9064853454762</c:v>
                </c:pt>
                <c:pt idx="13">
                  <c:v>-194.9064853454762</c:v>
                </c:pt>
                <c:pt idx="14">
                  <c:v>-194.9064853454762</c:v>
                </c:pt>
                <c:pt idx="15">
                  <c:v>-195.85620276572189</c:v>
                </c:pt>
                <c:pt idx="16">
                  <c:v>-195.85620276572189</c:v>
                </c:pt>
                <c:pt idx="17">
                  <c:v>-195.85620276572189</c:v>
                </c:pt>
                <c:pt idx="18">
                  <c:v>-197.10666675095419</c:v>
                </c:pt>
                <c:pt idx="19">
                  <c:v>-197.10666675095419</c:v>
                </c:pt>
                <c:pt idx="20">
                  <c:v>-197.10666675095419</c:v>
                </c:pt>
                <c:pt idx="21">
                  <c:v>-198.1773982133987</c:v>
                </c:pt>
                <c:pt idx="22">
                  <c:v>-198.1773982133987</c:v>
                </c:pt>
                <c:pt idx="23">
                  <c:v>-198.1773982133987</c:v>
                </c:pt>
                <c:pt idx="24">
                  <c:v>-199.65535185409325</c:v>
                </c:pt>
                <c:pt idx="25">
                  <c:v>-199.65535185409325</c:v>
                </c:pt>
                <c:pt idx="26">
                  <c:v>-199.65535185409325</c:v>
                </c:pt>
                <c:pt idx="27">
                  <c:v>-200.67411635061524</c:v>
                </c:pt>
                <c:pt idx="28">
                  <c:v>-200.67411635061524</c:v>
                </c:pt>
                <c:pt idx="29">
                  <c:v>-200.67411635061524</c:v>
                </c:pt>
                <c:pt idx="30">
                  <c:v>-207.16129462342946</c:v>
                </c:pt>
                <c:pt idx="31">
                  <c:v>-207.16129462342946</c:v>
                </c:pt>
                <c:pt idx="32">
                  <c:v>-207.16129462342946</c:v>
                </c:pt>
                <c:pt idx="33">
                  <c:v>-213.64847289624367</c:v>
                </c:pt>
                <c:pt idx="34">
                  <c:v>-213.64847289624367</c:v>
                </c:pt>
                <c:pt idx="35">
                  <c:v>-213.64847289624367</c:v>
                </c:pt>
                <c:pt idx="36">
                  <c:v>-214.77861824068867</c:v>
                </c:pt>
                <c:pt idx="37">
                  <c:v>-214.77861824068867</c:v>
                </c:pt>
                <c:pt idx="38">
                  <c:v>-214.77861824068867</c:v>
                </c:pt>
                <c:pt idx="39">
                  <c:v>-216.33544012010819</c:v>
                </c:pt>
                <c:pt idx="40">
                  <c:v>-216.33544012010819</c:v>
                </c:pt>
                <c:pt idx="41">
                  <c:v>-216.33544012010819</c:v>
                </c:pt>
                <c:pt idx="42">
                  <c:v>-217.4061715825527</c:v>
                </c:pt>
                <c:pt idx="43">
                  <c:v>-217.4061715825527</c:v>
                </c:pt>
                <c:pt idx="44">
                  <c:v>-217.4061715825527</c:v>
                </c:pt>
                <c:pt idx="45">
                  <c:v>-218.656635567785</c:v>
                </c:pt>
                <c:pt idx="46">
                  <c:v>-218.656635567785</c:v>
                </c:pt>
                <c:pt idx="47">
                  <c:v>-218.656635567785</c:v>
                </c:pt>
                <c:pt idx="48">
                  <c:v>-219.85462222801658</c:v>
                </c:pt>
                <c:pt idx="49">
                  <c:v>-219.85462222801658</c:v>
                </c:pt>
                <c:pt idx="50">
                  <c:v>-219.85462222801658</c:v>
                </c:pt>
                <c:pt idx="51">
                  <c:v>-221.50155894133121</c:v>
                </c:pt>
                <c:pt idx="52">
                  <c:v>-221.50155894133121</c:v>
                </c:pt>
                <c:pt idx="53">
                  <c:v>-221.50155894133121</c:v>
                </c:pt>
                <c:pt idx="54">
                  <c:v>-222.63170428577621</c:v>
                </c:pt>
                <c:pt idx="55">
                  <c:v>-222.63170428577621</c:v>
                </c:pt>
                <c:pt idx="56">
                  <c:v>-222.63170428577621</c:v>
                </c:pt>
                <c:pt idx="57">
                  <c:v>-231.78164354425058</c:v>
                </c:pt>
                <c:pt idx="58">
                  <c:v>-231.78164354425058</c:v>
                </c:pt>
                <c:pt idx="59">
                  <c:v>-231.78164354425058</c:v>
                </c:pt>
                <c:pt idx="60">
                  <c:v>-239.68111881749263</c:v>
                </c:pt>
                <c:pt idx="61">
                  <c:v>-239.68111881749263</c:v>
                </c:pt>
                <c:pt idx="62">
                  <c:v>-239.68111881749263</c:v>
                </c:pt>
                <c:pt idx="63">
                  <c:v>-240.93158280272496</c:v>
                </c:pt>
                <c:pt idx="64">
                  <c:v>-240.93158280272496</c:v>
                </c:pt>
                <c:pt idx="65">
                  <c:v>-240.93158280272496</c:v>
                </c:pt>
                <c:pt idx="66">
                  <c:v>-242.26032774597459</c:v>
                </c:pt>
                <c:pt idx="67">
                  <c:v>-242.26032774597459</c:v>
                </c:pt>
                <c:pt idx="68">
                  <c:v>-242.26032774597459</c:v>
                </c:pt>
                <c:pt idx="69">
                  <c:v>-244.04938760028477</c:v>
                </c:pt>
                <c:pt idx="70">
                  <c:v>-244.04938760028477</c:v>
                </c:pt>
                <c:pt idx="71">
                  <c:v>-244.04938760028477</c:v>
                </c:pt>
                <c:pt idx="72">
                  <c:v>-245.24737426051632</c:v>
                </c:pt>
                <c:pt idx="73">
                  <c:v>-245.24737426051632</c:v>
                </c:pt>
                <c:pt idx="74">
                  <c:v>-245.24737426051632</c:v>
                </c:pt>
                <c:pt idx="75">
                  <c:v>-257.08056174697401</c:v>
                </c:pt>
                <c:pt idx="76">
                  <c:v>-257.08056174697401</c:v>
                </c:pt>
                <c:pt idx="77">
                  <c:v>-257.08056174697401</c:v>
                </c:pt>
                <c:pt idx="78">
                  <c:v>-268.94995644224957</c:v>
                </c:pt>
                <c:pt idx="79">
                  <c:v>-268.94995644224957</c:v>
                </c:pt>
                <c:pt idx="80">
                  <c:v>-268.94995644224957</c:v>
                </c:pt>
                <c:pt idx="81">
                  <c:v>-270.37132001485742</c:v>
                </c:pt>
                <c:pt idx="82">
                  <c:v>-270.37132001485742</c:v>
                </c:pt>
                <c:pt idx="83">
                  <c:v>-270.37132001485742</c:v>
                </c:pt>
                <c:pt idx="84">
                  <c:v>-272.35944299869612</c:v>
                </c:pt>
                <c:pt idx="85">
                  <c:v>-272.35944299869612</c:v>
                </c:pt>
                <c:pt idx="86">
                  <c:v>-272.35944299869612</c:v>
                </c:pt>
                <c:pt idx="87">
                  <c:v>-273.74953601476767</c:v>
                </c:pt>
                <c:pt idx="88">
                  <c:v>-273.74953601476767</c:v>
                </c:pt>
                <c:pt idx="89">
                  <c:v>-273.74953601476767</c:v>
                </c:pt>
                <c:pt idx="90">
                  <c:v>-274.37476800738386</c:v>
                </c:pt>
                <c:pt idx="91">
                  <c:v>-266.79086965919288</c:v>
                </c:pt>
                <c:pt idx="92">
                  <c:v>-266.79086965919288</c:v>
                </c:pt>
                <c:pt idx="93">
                  <c:v>-275</c:v>
                </c:pt>
                <c:pt idx="94">
                  <c:v>-275</c:v>
                </c:pt>
                <c:pt idx="95">
                  <c:v>-275</c:v>
                </c:pt>
                <c:pt idx="96">
                  <c:v>-293.84834603339533</c:v>
                </c:pt>
                <c:pt idx="97">
                  <c:v>-293.84834603339533</c:v>
                </c:pt>
                <c:pt idx="98">
                  <c:v>-293.84834603339533</c:v>
                </c:pt>
                <c:pt idx="99">
                  <c:v>-321.64132238631845</c:v>
                </c:pt>
                <c:pt idx="100">
                  <c:v>-321.64132238631845</c:v>
                </c:pt>
                <c:pt idx="101">
                  <c:v>-321.64132238631845</c:v>
                </c:pt>
                <c:pt idx="102">
                  <c:v>-337.94770868554167</c:v>
                </c:pt>
                <c:pt idx="103">
                  <c:v>-337.94770868554167</c:v>
                </c:pt>
                <c:pt idx="104">
                  <c:v>-337.94770868554167</c:v>
                </c:pt>
                <c:pt idx="105">
                  <c:v>-357.62832282706137</c:v>
                </c:pt>
                <c:pt idx="106">
                  <c:v>-357.62832282706137</c:v>
                </c:pt>
                <c:pt idx="107">
                  <c:v>-357.62832282706137</c:v>
                </c:pt>
                <c:pt idx="108">
                  <c:v>-377.30893696858055</c:v>
                </c:pt>
                <c:pt idx="109">
                  <c:v>-377.30893696858055</c:v>
                </c:pt>
                <c:pt idx="110">
                  <c:v>-377.30893696858055</c:v>
                </c:pt>
                <c:pt idx="111">
                  <c:v>-406.35048997588638</c:v>
                </c:pt>
                <c:pt idx="112">
                  <c:v>-406.35048997588638</c:v>
                </c:pt>
                <c:pt idx="113">
                  <c:v>-406.35048997588638</c:v>
                </c:pt>
                <c:pt idx="114">
                  <c:v>-447.62412069446009</c:v>
                </c:pt>
                <c:pt idx="115">
                  <c:v>-447.62412069446009</c:v>
                </c:pt>
                <c:pt idx="116">
                  <c:v>-447.62412069446009</c:v>
                </c:pt>
                <c:pt idx="117">
                  <c:v>-476.95159572414946</c:v>
                </c:pt>
                <c:pt idx="118">
                  <c:v>-476.95159572414946</c:v>
                </c:pt>
                <c:pt idx="119">
                  <c:v>-476.95159572414946</c:v>
                </c:pt>
                <c:pt idx="120">
                  <c:v>-493.24310476022777</c:v>
                </c:pt>
                <c:pt idx="121">
                  <c:v>-493.24310476022777</c:v>
                </c:pt>
                <c:pt idx="122">
                  <c:v>-493.24310476022777</c:v>
                </c:pt>
                <c:pt idx="123">
                  <c:v>-531.85994546216102</c:v>
                </c:pt>
                <c:pt idx="124">
                  <c:v>-531.85994546216102</c:v>
                </c:pt>
                <c:pt idx="125">
                  <c:v>-531.85994546216102</c:v>
                </c:pt>
                <c:pt idx="126">
                  <c:v>-582.79561714137174</c:v>
                </c:pt>
                <c:pt idx="127">
                  <c:v>-582.79561714137174</c:v>
                </c:pt>
                <c:pt idx="128">
                  <c:v>-582.79561714137174</c:v>
                </c:pt>
                <c:pt idx="129">
                  <c:v>-626.70045188305426</c:v>
                </c:pt>
                <c:pt idx="130">
                  <c:v>-626.70045188305426</c:v>
                </c:pt>
                <c:pt idx="131">
                  <c:v>-626.70045188305426</c:v>
                </c:pt>
                <c:pt idx="132">
                  <c:v>-687.14634513563362</c:v>
                </c:pt>
                <c:pt idx="133">
                  <c:v>-687.14634513563362</c:v>
                </c:pt>
                <c:pt idx="134">
                  <c:v>-687.14634513563362</c:v>
                </c:pt>
                <c:pt idx="135">
                  <c:v>-718.64748635322371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4F4-43A6-953E-010F2EC87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148224"/>
        <c:axId val="1"/>
      </c:scatterChart>
      <c:valAx>
        <c:axId val="31914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Length</a:t>
                </a:r>
              </a:p>
            </c:rich>
          </c:tx>
          <c:layout>
            <c:manualLayout>
              <c:xMode val="edge"/>
              <c:yMode val="edge"/>
              <c:x val="0.50347320969627496"/>
              <c:y val="0.899162016512641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Area</a:t>
                </a:r>
              </a:p>
            </c:rich>
          </c:tx>
          <c:layout>
            <c:manualLayout>
              <c:xMode val="edge"/>
              <c:yMode val="edge"/>
              <c:x val="2.7777853591524626E-2"/>
              <c:y val="0.45098156848041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914822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4741354609773"/>
          <c:y val="2.6929982046678635E-2"/>
          <c:w val="0.86111257105945338"/>
          <c:h val="0.85996409335727109"/>
        </c:manualLayout>
      </c:layout>
      <c:scatterChart>
        <c:scatterStyle val="lineMarker"/>
        <c:varyColors val="0"/>
        <c:ser>
          <c:idx val="1"/>
          <c:order val="0"/>
          <c:tx>
            <c:v>Outline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Panels!$F$9:$F$115</c:f>
              <c:numCache>
                <c:formatCode>0.0</c:formatCode>
                <c:ptCount val="107"/>
                <c:pt idx="0">
                  <c:v>89.534999999999997</c:v>
                </c:pt>
                <c:pt idx="1">
                  <c:v>89.534999999999997</c:v>
                </c:pt>
                <c:pt idx="2">
                  <c:v>91.44</c:v>
                </c:pt>
                <c:pt idx="3">
                  <c:v>91.44</c:v>
                </c:pt>
                <c:pt idx="4">
                  <c:v>89.534999999999997</c:v>
                </c:pt>
                <c:pt idx="6">
                  <c:v>0</c:v>
                </c:pt>
                <c:pt idx="7">
                  <c:v>0</c:v>
                </c:pt>
                <c:pt idx="8">
                  <c:v>1.905</c:v>
                </c:pt>
                <c:pt idx="9">
                  <c:v>1.905</c:v>
                </c:pt>
                <c:pt idx="10">
                  <c:v>0</c:v>
                </c:pt>
                <c:pt idx="12">
                  <c:v>46.672499999999999</c:v>
                </c:pt>
                <c:pt idx="13">
                  <c:v>46.672499999999999</c:v>
                </c:pt>
                <c:pt idx="14">
                  <c:v>44.767499999999998</c:v>
                </c:pt>
                <c:pt idx="15">
                  <c:v>44.767499999999998</c:v>
                </c:pt>
                <c:pt idx="16">
                  <c:v>46.672499999999999</c:v>
                </c:pt>
                <c:pt idx="18">
                  <c:v>91.44</c:v>
                </c:pt>
                <c:pt idx="19">
                  <c:v>0</c:v>
                </c:pt>
                <c:pt idx="20">
                  <c:v>0</c:v>
                </c:pt>
                <c:pt idx="21">
                  <c:v>91.44</c:v>
                </c:pt>
                <c:pt idx="22">
                  <c:v>91.44</c:v>
                </c:pt>
                <c:pt idx="24">
                  <c:v>0</c:v>
                </c:pt>
                <c:pt idx="25">
                  <c:v>91.44</c:v>
                </c:pt>
                <c:pt idx="26">
                  <c:v>91.44</c:v>
                </c:pt>
                <c:pt idx="27">
                  <c:v>0</c:v>
                </c:pt>
                <c:pt idx="28">
                  <c:v>0</c:v>
                </c:pt>
                <c:pt idx="30">
                  <c:v>91.44</c:v>
                </c:pt>
                <c:pt idx="31">
                  <c:v>70.895037846803291</c:v>
                </c:pt>
                <c:pt idx="32">
                  <c:v>70.895037846803291</c:v>
                </c:pt>
                <c:pt idx="33">
                  <c:v>91.44</c:v>
                </c:pt>
                <c:pt idx="34">
                  <c:v>91.44</c:v>
                </c:pt>
                <c:pt idx="36">
                  <c:v>0</c:v>
                </c:pt>
                <c:pt idx="37">
                  <c:v>20.54496215319671</c:v>
                </c:pt>
                <c:pt idx="38">
                  <c:v>20.54496215319671</c:v>
                </c:pt>
                <c:pt idx="39">
                  <c:v>0</c:v>
                </c:pt>
                <c:pt idx="40">
                  <c:v>0</c:v>
                </c:pt>
                <c:pt idx="42">
                  <c:v>81.437976345471327</c:v>
                </c:pt>
                <c:pt idx="43">
                  <c:v>81.437976345471327</c:v>
                </c:pt>
                <c:pt idx="44">
                  <c:v>10.002023654528685</c:v>
                </c:pt>
                <c:pt idx="45">
                  <c:v>10.002023654528685</c:v>
                </c:pt>
                <c:pt idx="46">
                  <c:v>81.437976345471327</c:v>
                </c:pt>
                <c:pt idx="48">
                  <c:v>81.437976345471327</c:v>
                </c:pt>
                <c:pt idx="49">
                  <c:v>81.437976345471327</c:v>
                </c:pt>
                <c:pt idx="50">
                  <c:v>79.532976345471326</c:v>
                </c:pt>
                <c:pt idx="51">
                  <c:v>79.532976345471326</c:v>
                </c:pt>
                <c:pt idx="52">
                  <c:v>81.437976345471327</c:v>
                </c:pt>
                <c:pt idx="54">
                  <c:v>10.002023654528685</c:v>
                </c:pt>
                <c:pt idx="55">
                  <c:v>10.002023654528685</c:v>
                </c:pt>
                <c:pt idx="56">
                  <c:v>11.907023654528684</c:v>
                </c:pt>
                <c:pt idx="57">
                  <c:v>11.907023654528684</c:v>
                </c:pt>
                <c:pt idx="58">
                  <c:v>10.002023654528685</c:v>
                </c:pt>
                <c:pt idx="60">
                  <c:v>79.532976345471326</c:v>
                </c:pt>
                <c:pt idx="61">
                  <c:v>53.559309717331395</c:v>
                </c:pt>
                <c:pt idx="62">
                  <c:v>53.559309717331395</c:v>
                </c:pt>
                <c:pt idx="63">
                  <c:v>79.532976345471326</c:v>
                </c:pt>
                <c:pt idx="64">
                  <c:v>79.532976345471326</c:v>
                </c:pt>
                <c:pt idx="66">
                  <c:v>11.907023654528684</c:v>
                </c:pt>
                <c:pt idx="67">
                  <c:v>37.880690282668617</c:v>
                </c:pt>
                <c:pt idx="68">
                  <c:v>37.880690282668617</c:v>
                </c:pt>
                <c:pt idx="69">
                  <c:v>11.907023654528684</c:v>
                </c:pt>
                <c:pt idx="70">
                  <c:v>11.907023654528684</c:v>
                </c:pt>
                <c:pt idx="72">
                  <c:v>10.375862741798592</c:v>
                </c:pt>
                <c:pt idx="73">
                  <c:v>10.375862741798592</c:v>
                </c:pt>
                <c:pt idx="74">
                  <c:v>12.280862741798591</c:v>
                </c:pt>
                <c:pt idx="75">
                  <c:v>12.280862741798591</c:v>
                </c:pt>
                <c:pt idx="76">
                  <c:v>10.375862741798592</c:v>
                </c:pt>
                <c:pt idx="78">
                  <c:v>79.159137258201426</c:v>
                </c:pt>
                <c:pt idx="79">
                  <c:v>79.159137258201426</c:v>
                </c:pt>
                <c:pt idx="80">
                  <c:v>81.064137258201427</c:v>
                </c:pt>
                <c:pt idx="81">
                  <c:v>81.064137258201427</c:v>
                </c:pt>
                <c:pt idx="82">
                  <c:v>79.159137258201426</c:v>
                </c:pt>
                <c:pt idx="84">
                  <c:v>69.048638407941738</c:v>
                </c:pt>
                <c:pt idx="85">
                  <c:v>65.569409334347171</c:v>
                </c:pt>
                <c:pt idx="86">
                  <c:v>67.415808773208724</c:v>
                </c:pt>
                <c:pt idx="87">
                  <c:v>70.895037846803291</c:v>
                </c:pt>
                <c:pt idx="88">
                  <c:v>69.048638407941738</c:v>
                </c:pt>
                <c:pt idx="90">
                  <c:v>22.391361592058264</c:v>
                </c:pt>
                <c:pt idx="91">
                  <c:v>25.870590665652824</c:v>
                </c:pt>
                <c:pt idx="92">
                  <c:v>24.02419122679127</c:v>
                </c:pt>
                <c:pt idx="93">
                  <c:v>20.54496215319671</c:v>
                </c:pt>
                <c:pt idx="94">
                  <c:v>22.391361592058264</c:v>
                </c:pt>
                <c:pt idx="96">
                  <c:v>46.672499999999999</c:v>
                </c:pt>
                <c:pt idx="97">
                  <c:v>73.324892342112136</c:v>
                </c:pt>
                <c:pt idx="98">
                  <c:v>73.324892342112136</c:v>
                </c:pt>
                <c:pt idx="99">
                  <c:v>46.672499999999999</c:v>
                </c:pt>
                <c:pt idx="100">
                  <c:v>46.672499999999999</c:v>
                </c:pt>
                <c:pt idx="102">
                  <c:v>44.767499999999998</c:v>
                </c:pt>
                <c:pt idx="103">
                  <c:v>18.115107657887858</c:v>
                </c:pt>
                <c:pt idx="104">
                  <c:v>18.115107657887858</c:v>
                </c:pt>
                <c:pt idx="105">
                  <c:v>44.767499999999998</c:v>
                </c:pt>
                <c:pt idx="106">
                  <c:v>44.767499999999998</c:v>
                </c:pt>
              </c:numCache>
            </c:numRef>
          </c:xVal>
          <c:yVal>
            <c:numRef>
              <c:f>Panels!$G$9:$G$115</c:f>
              <c:numCache>
                <c:formatCode>0.0</c:formatCode>
                <c:ptCount val="107"/>
                <c:pt idx="0">
                  <c:v>53.975000000000001</c:v>
                </c:pt>
                <c:pt idx="1">
                  <c:v>1.905</c:v>
                </c:pt>
                <c:pt idx="2">
                  <c:v>1.905</c:v>
                </c:pt>
                <c:pt idx="3">
                  <c:v>53.975000000000001</c:v>
                </c:pt>
                <c:pt idx="4">
                  <c:v>53.975000000000001</c:v>
                </c:pt>
                <c:pt idx="6">
                  <c:v>53.975000000000001</c:v>
                </c:pt>
                <c:pt idx="7">
                  <c:v>1.905</c:v>
                </c:pt>
                <c:pt idx="8">
                  <c:v>1.905</c:v>
                </c:pt>
                <c:pt idx="9">
                  <c:v>53.975000000000001</c:v>
                </c:pt>
                <c:pt idx="10">
                  <c:v>53.975000000000001</c:v>
                </c:pt>
                <c:pt idx="12">
                  <c:v>1.905</c:v>
                </c:pt>
                <c:pt idx="13">
                  <c:v>25.327303214400271</c:v>
                </c:pt>
                <c:pt idx="14">
                  <c:v>25.327303214400271</c:v>
                </c:pt>
                <c:pt idx="15">
                  <c:v>1.905</c:v>
                </c:pt>
                <c:pt idx="16">
                  <c:v>1.905</c:v>
                </c:pt>
                <c:pt idx="18">
                  <c:v>55.88</c:v>
                </c:pt>
                <c:pt idx="19">
                  <c:v>55.88</c:v>
                </c:pt>
                <c:pt idx="20">
                  <c:v>0</c:v>
                </c:pt>
                <c:pt idx="21">
                  <c:v>0</c:v>
                </c:pt>
                <c:pt idx="22">
                  <c:v>55.88</c:v>
                </c:pt>
                <c:pt idx="24">
                  <c:v>0</c:v>
                </c:pt>
                <c:pt idx="25">
                  <c:v>0</c:v>
                </c:pt>
                <c:pt idx="26">
                  <c:v>1.905</c:v>
                </c:pt>
                <c:pt idx="27">
                  <c:v>1.905</c:v>
                </c:pt>
                <c:pt idx="28">
                  <c:v>0</c:v>
                </c:pt>
                <c:pt idx="30">
                  <c:v>55.88</c:v>
                </c:pt>
                <c:pt idx="31">
                  <c:v>55.88</c:v>
                </c:pt>
                <c:pt idx="32">
                  <c:v>53.975000000000001</c:v>
                </c:pt>
                <c:pt idx="33">
                  <c:v>53.975000000000001</c:v>
                </c:pt>
                <c:pt idx="34">
                  <c:v>55.88</c:v>
                </c:pt>
                <c:pt idx="36">
                  <c:v>55.88</c:v>
                </c:pt>
                <c:pt idx="37">
                  <c:v>55.88</c:v>
                </c:pt>
                <c:pt idx="38">
                  <c:v>53.975000000000001</c:v>
                </c:pt>
                <c:pt idx="39">
                  <c:v>53.975000000000001</c:v>
                </c:pt>
                <c:pt idx="40">
                  <c:v>55.88</c:v>
                </c:pt>
                <c:pt idx="42">
                  <c:v>25.327303214400271</c:v>
                </c:pt>
                <c:pt idx="43">
                  <c:v>27.232303214400272</c:v>
                </c:pt>
                <c:pt idx="44">
                  <c:v>27.232303214400272</c:v>
                </c:pt>
                <c:pt idx="45">
                  <c:v>25.327303214400271</c:v>
                </c:pt>
                <c:pt idx="46">
                  <c:v>25.327303214400271</c:v>
                </c:pt>
                <c:pt idx="48">
                  <c:v>25.327303214400271</c:v>
                </c:pt>
                <c:pt idx="49">
                  <c:v>9.2052169264943409</c:v>
                </c:pt>
                <c:pt idx="50">
                  <c:v>9.2052169264943409</c:v>
                </c:pt>
                <c:pt idx="51">
                  <c:v>25.327303214400271</c:v>
                </c:pt>
                <c:pt idx="52">
                  <c:v>25.327303214400271</c:v>
                </c:pt>
                <c:pt idx="54">
                  <c:v>25.327303214400271</c:v>
                </c:pt>
                <c:pt idx="55">
                  <c:v>9.2052169264943409</c:v>
                </c:pt>
                <c:pt idx="56">
                  <c:v>9.2052169264943409</c:v>
                </c:pt>
                <c:pt idx="57">
                  <c:v>25.327303214400271</c:v>
                </c:pt>
                <c:pt idx="58">
                  <c:v>25.327303214400271</c:v>
                </c:pt>
                <c:pt idx="60">
                  <c:v>9.2052169264943409</c:v>
                </c:pt>
                <c:pt idx="61">
                  <c:v>9.2052169264943409</c:v>
                </c:pt>
                <c:pt idx="62">
                  <c:v>11.11021692649434</c:v>
                </c:pt>
                <c:pt idx="63">
                  <c:v>11.11021692649434</c:v>
                </c:pt>
                <c:pt idx="64">
                  <c:v>9.2052169264943409</c:v>
                </c:pt>
                <c:pt idx="66">
                  <c:v>9.2052169264943409</c:v>
                </c:pt>
                <c:pt idx="67">
                  <c:v>9.2052169264943409</c:v>
                </c:pt>
                <c:pt idx="68">
                  <c:v>11.11021692649434</c:v>
                </c:pt>
                <c:pt idx="69">
                  <c:v>11.11021692649434</c:v>
                </c:pt>
                <c:pt idx="70">
                  <c:v>9.2052169264943409</c:v>
                </c:pt>
                <c:pt idx="72">
                  <c:v>27.232303214400272</c:v>
                </c:pt>
                <c:pt idx="73">
                  <c:v>45.313582677165357</c:v>
                </c:pt>
                <c:pt idx="74">
                  <c:v>45.313582677165357</c:v>
                </c:pt>
                <c:pt idx="75">
                  <c:v>27.232303214400272</c:v>
                </c:pt>
                <c:pt idx="76">
                  <c:v>27.232303214400272</c:v>
                </c:pt>
                <c:pt idx="78">
                  <c:v>27.232303214400272</c:v>
                </c:pt>
                <c:pt idx="79">
                  <c:v>45.313582677165357</c:v>
                </c:pt>
                <c:pt idx="80">
                  <c:v>45.313582677165357</c:v>
                </c:pt>
                <c:pt idx="81">
                  <c:v>27.232303214400272</c:v>
                </c:pt>
                <c:pt idx="82">
                  <c:v>27.232303214400272</c:v>
                </c:pt>
                <c:pt idx="84">
                  <c:v>56.348864705615327</c:v>
                </c:pt>
                <c:pt idx="85">
                  <c:v>42.647584715420635</c:v>
                </c:pt>
                <c:pt idx="86">
                  <c:v>42.178720009805311</c:v>
                </c:pt>
                <c:pt idx="87">
                  <c:v>55.88</c:v>
                </c:pt>
                <c:pt idx="88">
                  <c:v>56.348864705615327</c:v>
                </c:pt>
                <c:pt idx="90">
                  <c:v>56.348864705615327</c:v>
                </c:pt>
                <c:pt idx="91">
                  <c:v>42.647584715420635</c:v>
                </c:pt>
                <c:pt idx="92">
                  <c:v>42.178720009805311</c:v>
                </c:pt>
                <c:pt idx="93">
                  <c:v>55.88</c:v>
                </c:pt>
                <c:pt idx="94">
                  <c:v>56.348864705615327</c:v>
                </c:pt>
                <c:pt idx="96">
                  <c:v>19.539974008811463</c:v>
                </c:pt>
                <c:pt idx="97">
                  <c:v>19.539974008811463</c:v>
                </c:pt>
                <c:pt idx="98">
                  <c:v>17.634974008811461</c:v>
                </c:pt>
                <c:pt idx="99">
                  <c:v>17.634974008811461</c:v>
                </c:pt>
                <c:pt idx="100">
                  <c:v>19.539974008811463</c:v>
                </c:pt>
                <c:pt idx="102">
                  <c:v>19.539974008811463</c:v>
                </c:pt>
                <c:pt idx="103">
                  <c:v>19.539974008811463</c:v>
                </c:pt>
                <c:pt idx="104">
                  <c:v>17.634974008811461</c:v>
                </c:pt>
                <c:pt idx="105">
                  <c:v>17.634974008811461</c:v>
                </c:pt>
                <c:pt idx="106">
                  <c:v>19.539974008811463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00-4B41-8527-553A312D784B}"/>
            </c:ext>
          </c:extLst>
        </c:ser>
        <c:ser>
          <c:idx val="5"/>
          <c:order val="1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4"/>
            <c:spPr>
              <a:noFill/>
              <a:ln>
                <a:noFill/>
                <a:prstDash val="solid"/>
              </a:ln>
            </c:spPr>
          </c:marker>
          <c:xVal>
            <c:numRef>
              <c:f>Path!$F$27:$F$167</c:f>
              <c:numCache>
                <c:formatCode>0.0</c:formatCode>
                <c:ptCount val="141"/>
                <c:pt idx="0">
                  <c:v>46.672499999999999</c:v>
                </c:pt>
                <c:pt idx="1">
                  <c:v>46.672499999999999</c:v>
                </c:pt>
                <c:pt idx="3">
                  <c:v>59.998696171056068</c:v>
                </c:pt>
                <c:pt idx="4">
                  <c:v>59.998696171056068</c:v>
                </c:pt>
                <c:pt idx="6">
                  <c:v>73.324892342112136</c:v>
                </c:pt>
                <c:pt idx="7">
                  <c:v>73.324892342112136</c:v>
                </c:pt>
                <c:pt idx="9">
                  <c:v>76.428934343791724</c:v>
                </c:pt>
                <c:pt idx="10">
                  <c:v>73.324892342112136</c:v>
                </c:pt>
                <c:pt idx="12">
                  <c:v>79.532976345471326</c:v>
                </c:pt>
                <c:pt idx="13">
                  <c:v>73.324892342112136</c:v>
                </c:pt>
                <c:pt idx="15">
                  <c:v>79.532976345471326</c:v>
                </c:pt>
                <c:pt idx="16">
                  <c:v>73.324892342112136</c:v>
                </c:pt>
                <c:pt idx="18">
                  <c:v>79.532976345471326</c:v>
                </c:pt>
                <c:pt idx="19">
                  <c:v>73.324892342112136</c:v>
                </c:pt>
                <c:pt idx="21">
                  <c:v>79.532976345471326</c:v>
                </c:pt>
                <c:pt idx="22">
                  <c:v>73.324892342112136</c:v>
                </c:pt>
                <c:pt idx="24">
                  <c:v>76.428934343791724</c:v>
                </c:pt>
                <c:pt idx="25">
                  <c:v>73.324892342112136</c:v>
                </c:pt>
                <c:pt idx="27">
                  <c:v>73.324892342112136</c:v>
                </c:pt>
                <c:pt idx="28">
                  <c:v>73.324892342112136</c:v>
                </c:pt>
                <c:pt idx="30">
                  <c:v>63.442101029721769</c:v>
                </c:pt>
                <c:pt idx="31">
                  <c:v>63.442101029721769</c:v>
                </c:pt>
                <c:pt idx="33">
                  <c:v>53.559309717331395</c:v>
                </c:pt>
                <c:pt idx="34">
                  <c:v>53.559309717331395</c:v>
                </c:pt>
                <c:pt idx="36">
                  <c:v>50.115904858665701</c:v>
                </c:pt>
                <c:pt idx="37">
                  <c:v>53.559309717331395</c:v>
                </c:pt>
                <c:pt idx="39">
                  <c:v>46.672499999999999</c:v>
                </c:pt>
                <c:pt idx="40">
                  <c:v>53.559309717331395</c:v>
                </c:pt>
                <c:pt idx="42">
                  <c:v>46.672499999999999</c:v>
                </c:pt>
                <c:pt idx="43">
                  <c:v>53.559309717331395</c:v>
                </c:pt>
                <c:pt idx="45">
                  <c:v>46.672499999999999</c:v>
                </c:pt>
                <c:pt idx="46">
                  <c:v>53.559309717331395</c:v>
                </c:pt>
                <c:pt idx="48">
                  <c:v>46.672499999999999</c:v>
                </c:pt>
                <c:pt idx="49">
                  <c:v>53.559309717331395</c:v>
                </c:pt>
                <c:pt idx="51">
                  <c:v>50.115904858665701</c:v>
                </c:pt>
                <c:pt idx="52">
                  <c:v>53.559309717331395</c:v>
                </c:pt>
                <c:pt idx="54">
                  <c:v>53.559309717331395</c:v>
                </c:pt>
                <c:pt idx="55">
                  <c:v>53.559309717331395</c:v>
                </c:pt>
                <c:pt idx="57">
                  <c:v>67.498643031401357</c:v>
                </c:pt>
                <c:pt idx="58">
                  <c:v>67.498643031401357</c:v>
                </c:pt>
                <c:pt idx="60">
                  <c:v>79.532976345471326</c:v>
                </c:pt>
                <c:pt idx="61">
                  <c:v>79.532976345471326</c:v>
                </c:pt>
                <c:pt idx="63">
                  <c:v>81.437976345471327</c:v>
                </c:pt>
                <c:pt idx="64">
                  <c:v>81.437976345471327</c:v>
                </c:pt>
                <c:pt idx="66">
                  <c:v>85.486488172735662</c:v>
                </c:pt>
                <c:pt idx="67">
                  <c:v>81.437976345471327</c:v>
                </c:pt>
                <c:pt idx="69">
                  <c:v>89.534999999999997</c:v>
                </c:pt>
                <c:pt idx="70">
                  <c:v>81.437976345471327</c:v>
                </c:pt>
                <c:pt idx="72">
                  <c:v>89.534999999999997</c:v>
                </c:pt>
                <c:pt idx="73">
                  <c:v>81.437976345471327</c:v>
                </c:pt>
                <c:pt idx="75">
                  <c:v>89.534999999999997</c:v>
                </c:pt>
                <c:pt idx="76">
                  <c:v>81.437976345471327</c:v>
                </c:pt>
                <c:pt idx="78">
                  <c:v>89.534999999999997</c:v>
                </c:pt>
                <c:pt idx="79">
                  <c:v>81.064137258201427</c:v>
                </c:pt>
                <c:pt idx="81">
                  <c:v>89.534999999999997</c:v>
                </c:pt>
                <c:pt idx="82">
                  <c:v>81.064137258201427</c:v>
                </c:pt>
                <c:pt idx="84">
                  <c:v>85.299568629100719</c:v>
                </c:pt>
                <c:pt idx="85">
                  <c:v>81.064137258201427</c:v>
                </c:pt>
                <c:pt idx="87">
                  <c:v>81.064137258201427</c:v>
                </c:pt>
                <c:pt idx="88">
                  <c:v>81.064137258201427</c:v>
                </c:pt>
                <c:pt idx="90">
                  <c:v>80.111637258201426</c:v>
                </c:pt>
                <c:pt idx="91">
                  <c:v>80.111637258201426</c:v>
                </c:pt>
                <c:pt idx="93">
                  <c:v>79.159137258201426</c:v>
                </c:pt>
                <c:pt idx="94">
                  <c:v>79.159137258201426</c:v>
                </c:pt>
                <c:pt idx="96">
                  <c:v>79.159137258201426</c:v>
                </c:pt>
                <c:pt idx="97">
                  <c:v>74.785214844626125</c:v>
                </c:pt>
                <c:pt idx="99">
                  <c:v>79.159137258201426</c:v>
                </c:pt>
                <c:pt idx="100">
                  <c:v>69.47995272825311</c:v>
                </c:pt>
                <c:pt idx="102">
                  <c:v>79.159137258201426</c:v>
                </c:pt>
                <c:pt idx="103">
                  <c:v>68.548613025455396</c:v>
                </c:pt>
                <c:pt idx="105">
                  <c:v>67.98221089933206</c:v>
                </c:pt>
                <c:pt idx="106">
                  <c:v>79.159137258201426</c:v>
                </c:pt>
                <c:pt idx="108">
                  <c:v>67.415808773208724</c:v>
                </c:pt>
                <c:pt idx="109">
                  <c:v>79.159137258201426</c:v>
                </c:pt>
                <c:pt idx="111">
                  <c:v>67.415808773208724</c:v>
                </c:pt>
                <c:pt idx="112">
                  <c:v>79.159137258201426</c:v>
                </c:pt>
                <c:pt idx="114">
                  <c:v>67.415808773208724</c:v>
                </c:pt>
                <c:pt idx="115">
                  <c:v>72.353441939437147</c:v>
                </c:pt>
                <c:pt idx="117">
                  <c:v>67.415808773208724</c:v>
                </c:pt>
                <c:pt idx="118">
                  <c:v>65.547746620672854</c:v>
                </c:pt>
                <c:pt idx="120">
                  <c:v>63.642746620672867</c:v>
                </c:pt>
                <c:pt idx="121">
                  <c:v>65.569409334347171</c:v>
                </c:pt>
                <c:pt idx="123">
                  <c:v>54.681373310336433</c:v>
                </c:pt>
                <c:pt idx="124">
                  <c:v>65.569409334347171</c:v>
                </c:pt>
                <c:pt idx="126">
                  <c:v>45.72</c:v>
                </c:pt>
                <c:pt idx="127">
                  <c:v>65.569409334347171</c:v>
                </c:pt>
                <c:pt idx="129">
                  <c:v>45.72</c:v>
                </c:pt>
                <c:pt idx="130">
                  <c:v>65.569409334347171</c:v>
                </c:pt>
                <c:pt idx="132">
                  <c:v>67.309023871144461</c:v>
                </c:pt>
                <c:pt idx="133">
                  <c:v>45.72</c:v>
                </c:pt>
                <c:pt idx="135">
                  <c:v>45.72</c:v>
                </c:pt>
                <c:pt idx="136">
                  <c:v>68.215617193520174</c:v>
                </c:pt>
                <c:pt idx="138">
                  <c:v>68.632127800730956</c:v>
                </c:pt>
                <c:pt idx="139">
                  <c:v>45.72</c:v>
                </c:pt>
              </c:numCache>
            </c:numRef>
          </c:xVal>
          <c:yVal>
            <c:numRef>
              <c:f>Path!$G$27:$G$167</c:f>
              <c:numCache>
                <c:formatCode>0.0</c:formatCode>
                <c:ptCount val="141"/>
                <c:pt idx="0">
                  <c:v>25.327303214400271</c:v>
                </c:pt>
                <c:pt idx="1">
                  <c:v>19.539974008811463</c:v>
                </c:pt>
                <c:pt idx="3">
                  <c:v>25.327303214400271</c:v>
                </c:pt>
                <c:pt idx="4">
                  <c:v>19.539974008811463</c:v>
                </c:pt>
                <c:pt idx="6">
                  <c:v>25.327303214400271</c:v>
                </c:pt>
                <c:pt idx="7">
                  <c:v>19.539974008811463</c:v>
                </c:pt>
                <c:pt idx="9">
                  <c:v>25.327303214400271</c:v>
                </c:pt>
                <c:pt idx="10">
                  <c:v>19.539974008811463</c:v>
                </c:pt>
                <c:pt idx="12">
                  <c:v>22.433638611605865</c:v>
                </c:pt>
                <c:pt idx="13">
                  <c:v>19.539974008811463</c:v>
                </c:pt>
                <c:pt idx="15">
                  <c:v>19.539974008811463</c:v>
                </c:pt>
                <c:pt idx="16">
                  <c:v>19.539974008811463</c:v>
                </c:pt>
                <c:pt idx="18">
                  <c:v>17.634974008811461</c:v>
                </c:pt>
                <c:pt idx="19">
                  <c:v>17.634974008811461</c:v>
                </c:pt>
                <c:pt idx="21">
                  <c:v>14.3725954676529</c:v>
                </c:pt>
                <c:pt idx="22">
                  <c:v>17.634974008811461</c:v>
                </c:pt>
                <c:pt idx="24">
                  <c:v>11.11021692649434</c:v>
                </c:pt>
                <c:pt idx="25">
                  <c:v>17.634974008811461</c:v>
                </c:pt>
                <c:pt idx="27">
                  <c:v>11.11021692649434</c:v>
                </c:pt>
                <c:pt idx="28">
                  <c:v>17.634974008811461</c:v>
                </c:pt>
                <c:pt idx="30">
                  <c:v>11.11021692649434</c:v>
                </c:pt>
                <c:pt idx="31">
                  <c:v>17.634974008811461</c:v>
                </c:pt>
                <c:pt idx="33">
                  <c:v>17.634974008811461</c:v>
                </c:pt>
                <c:pt idx="34">
                  <c:v>11.11021692649434</c:v>
                </c:pt>
                <c:pt idx="36">
                  <c:v>17.634974008811461</c:v>
                </c:pt>
                <c:pt idx="37">
                  <c:v>11.11021692649434</c:v>
                </c:pt>
                <c:pt idx="39">
                  <c:v>14.3725954676529</c:v>
                </c:pt>
                <c:pt idx="40">
                  <c:v>11.11021692649434</c:v>
                </c:pt>
                <c:pt idx="42">
                  <c:v>11.11021692649434</c:v>
                </c:pt>
                <c:pt idx="43">
                  <c:v>11.11021692649434</c:v>
                </c:pt>
                <c:pt idx="45">
                  <c:v>9.2052169264943409</c:v>
                </c:pt>
                <c:pt idx="46">
                  <c:v>9.2052169264943409</c:v>
                </c:pt>
                <c:pt idx="48">
                  <c:v>5.5551084632471701</c:v>
                </c:pt>
                <c:pt idx="49">
                  <c:v>9.2052169264943409</c:v>
                </c:pt>
                <c:pt idx="51">
                  <c:v>1.905</c:v>
                </c:pt>
                <c:pt idx="52">
                  <c:v>9.2052169264943409</c:v>
                </c:pt>
                <c:pt idx="54">
                  <c:v>1.905</c:v>
                </c:pt>
                <c:pt idx="55">
                  <c:v>9.2052169264943409</c:v>
                </c:pt>
                <c:pt idx="57">
                  <c:v>1.905</c:v>
                </c:pt>
                <c:pt idx="58">
                  <c:v>9.2052169264943409</c:v>
                </c:pt>
                <c:pt idx="60">
                  <c:v>1.905</c:v>
                </c:pt>
                <c:pt idx="61">
                  <c:v>9.2052169264943409</c:v>
                </c:pt>
                <c:pt idx="63">
                  <c:v>1.905</c:v>
                </c:pt>
                <c:pt idx="64">
                  <c:v>9.2052169264943409</c:v>
                </c:pt>
                <c:pt idx="66">
                  <c:v>1.905</c:v>
                </c:pt>
                <c:pt idx="67">
                  <c:v>9.2052169264943409</c:v>
                </c:pt>
                <c:pt idx="69">
                  <c:v>5.5551084632471701</c:v>
                </c:pt>
                <c:pt idx="70">
                  <c:v>9.2052169264943409</c:v>
                </c:pt>
                <c:pt idx="72">
                  <c:v>9.2052169264943409</c:v>
                </c:pt>
                <c:pt idx="73">
                  <c:v>9.2052169264943409</c:v>
                </c:pt>
                <c:pt idx="75">
                  <c:v>27.232303214400272</c:v>
                </c:pt>
                <c:pt idx="76">
                  <c:v>27.232303214400272</c:v>
                </c:pt>
                <c:pt idx="78">
                  <c:v>45.313582677165357</c:v>
                </c:pt>
                <c:pt idx="79">
                  <c:v>45.313582677165357</c:v>
                </c:pt>
                <c:pt idx="81">
                  <c:v>49.644291338582676</c:v>
                </c:pt>
                <c:pt idx="82">
                  <c:v>45.313582677165357</c:v>
                </c:pt>
                <c:pt idx="84">
                  <c:v>53.975000000000001</c:v>
                </c:pt>
                <c:pt idx="85">
                  <c:v>45.313582677165357</c:v>
                </c:pt>
                <c:pt idx="87">
                  <c:v>53.975000000000001</c:v>
                </c:pt>
                <c:pt idx="88">
                  <c:v>45.313582677165357</c:v>
                </c:pt>
                <c:pt idx="90">
                  <c:v>45.313582677165357</c:v>
                </c:pt>
                <c:pt idx="91">
                  <c:v>53.975000000000001</c:v>
                </c:pt>
                <c:pt idx="93">
                  <c:v>45.313582677165357</c:v>
                </c:pt>
                <c:pt idx="94">
                  <c:v>53.975000000000001</c:v>
                </c:pt>
                <c:pt idx="96">
                  <c:v>45.313582677165357</c:v>
                </c:pt>
                <c:pt idx="97">
                  <c:v>53.975000000000001</c:v>
                </c:pt>
                <c:pt idx="99">
                  <c:v>45.313582677165357</c:v>
                </c:pt>
                <c:pt idx="100">
                  <c:v>50.307363933475486</c:v>
                </c:pt>
                <c:pt idx="102">
                  <c:v>45.313582677165357</c:v>
                </c:pt>
                <c:pt idx="103">
                  <c:v>46.639727866950949</c:v>
                </c:pt>
                <c:pt idx="105">
                  <c:v>44.409223938378133</c:v>
                </c:pt>
                <c:pt idx="106">
                  <c:v>43.01228757573746</c:v>
                </c:pt>
                <c:pt idx="108">
                  <c:v>42.178720009805311</c:v>
                </c:pt>
                <c:pt idx="109">
                  <c:v>40.710992474309649</c:v>
                </c:pt>
                <c:pt idx="111">
                  <c:v>42.178720009805311</c:v>
                </c:pt>
                <c:pt idx="112">
                  <c:v>33.971647844354948</c:v>
                </c:pt>
                <c:pt idx="114">
                  <c:v>42.178720009805311</c:v>
                </c:pt>
                <c:pt idx="115">
                  <c:v>27.232303214400247</c:v>
                </c:pt>
                <c:pt idx="117">
                  <c:v>42.178720009805311</c:v>
                </c:pt>
                <c:pt idx="118">
                  <c:v>27.232303214400247</c:v>
                </c:pt>
                <c:pt idx="120">
                  <c:v>27.232303214400247</c:v>
                </c:pt>
                <c:pt idx="121">
                  <c:v>42.647584715420635</c:v>
                </c:pt>
                <c:pt idx="123">
                  <c:v>27.232303214400247</c:v>
                </c:pt>
                <c:pt idx="124">
                  <c:v>42.647584715420635</c:v>
                </c:pt>
                <c:pt idx="126">
                  <c:v>34.939943964910441</c:v>
                </c:pt>
                <c:pt idx="127">
                  <c:v>42.647584715420635</c:v>
                </c:pt>
                <c:pt idx="129">
                  <c:v>45.128442223628603</c:v>
                </c:pt>
                <c:pt idx="130">
                  <c:v>42.647584715420635</c:v>
                </c:pt>
                <c:pt idx="132">
                  <c:v>49.498224710517981</c:v>
                </c:pt>
                <c:pt idx="133">
                  <c:v>52.196506108389663</c:v>
                </c:pt>
                <c:pt idx="135">
                  <c:v>55.88</c:v>
                </c:pt>
                <c:pt idx="136">
                  <c:v>53.068408991105542</c:v>
                </c:pt>
                <c:pt idx="138">
                  <c:v>54.708636848360435</c:v>
                </c:pt>
                <c:pt idx="139">
                  <c:v>57.572284996575384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00-4B41-8527-553A312D784B}"/>
            </c:ext>
          </c:extLst>
        </c:ser>
        <c:ser>
          <c:idx val="6"/>
          <c:order val="2"/>
          <c:tx>
            <c:v>Driver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Panels!$F$134:$F$149</c:f>
              <c:numCache>
                <c:formatCode>0.0</c:formatCode>
                <c:ptCount val="16"/>
                <c:pt idx="0">
                  <c:v>61.720000000000006</c:v>
                </c:pt>
                <c:pt idx="1">
                  <c:v>45.720000000000006</c:v>
                </c:pt>
                <c:pt idx="2">
                  <c:v>45.720000000000006</c:v>
                </c:pt>
                <c:pt idx="3">
                  <c:v>57.220000000000006</c:v>
                </c:pt>
                <c:pt idx="4">
                  <c:v>57.220000000000006</c:v>
                </c:pt>
                <c:pt idx="5">
                  <c:v>60.720000000000006</c:v>
                </c:pt>
                <c:pt idx="7">
                  <c:v>29.720000000000006</c:v>
                </c:pt>
                <c:pt idx="8">
                  <c:v>45.720000000000006</c:v>
                </c:pt>
                <c:pt idx="9">
                  <c:v>45.720000000000006</c:v>
                </c:pt>
                <c:pt idx="10">
                  <c:v>34.220000000000006</c:v>
                </c:pt>
                <c:pt idx="11">
                  <c:v>34.220000000000006</c:v>
                </c:pt>
                <c:pt idx="12">
                  <c:v>30.720000000000006</c:v>
                </c:pt>
                <c:pt idx="14">
                  <c:v>34.220000000000006</c:v>
                </c:pt>
                <c:pt idx="15">
                  <c:v>57.220000000000006</c:v>
                </c:pt>
              </c:numCache>
            </c:numRef>
          </c:xVal>
          <c:yVal>
            <c:numRef>
              <c:f>Panels!$G$134:$G$149</c:f>
              <c:numCache>
                <c:formatCode>0.0</c:formatCode>
                <c:ptCount val="16"/>
                <c:pt idx="0">
                  <c:v>27.232303214400272</c:v>
                </c:pt>
                <c:pt idx="1">
                  <c:v>27.232303214400272</c:v>
                </c:pt>
                <c:pt idx="2">
                  <c:v>42.47230321440027</c:v>
                </c:pt>
                <c:pt idx="3">
                  <c:v>42.47230321440027</c:v>
                </c:pt>
                <c:pt idx="4">
                  <c:v>37.372303214400269</c:v>
                </c:pt>
                <c:pt idx="5">
                  <c:v>27.232303214400272</c:v>
                </c:pt>
                <c:pt idx="7">
                  <c:v>27.232303214400272</c:v>
                </c:pt>
                <c:pt idx="8">
                  <c:v>27.232303214400272</c:v>
                </c:pt>
                <c:pt idx="9">
                  <c:v>42.47230321440027</c:v>
                </c:pt>
                <c:pt idx="10">
                  <c:v>42.47230321440027</c:v>
                </c:pt>
                <c:pt idx="11">
                  <c:v>37.372303214400269</c:v>
                </c:pt>
                <c:pt idx="12">
                  <c:v>27.232303214400272</c:v>
                </c:pt>
                <c:pt idx="14">
                  <c:v>37.372303214400269</c:v>
                </c:pt>
                <c:pt idx="15">
                  <c:v>37.372303214400269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D00-4B41-8527-553A312D784B}"/>
            </c:ext>
          </c:extLst>
        </c:ser>
        <c:ser>
          <c:idx val="2"/>
          <c:order val="3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noFill/>
                <a:prstDash val="solid"/>
              </a:ln>
            </c:spPr>
          </c:marker>
          <c:xVal>
            <c:numRef>
              <c:f>Path!$J$27:$J$167</c:f>
              <c:numCache>
                <c:formatCode>0.0</c:formatCode>
                <c:ptCount val="141"/>
                <c:pt idx="0">
                  <c:v>46.672499999999999</c:v>
                </c:pt>
                <c:pt idx="1">
                  <c:v>46.672499999999999</c:v>
                </c:pt>
                <c:pt idx="2">
                  <c:v>46.672499999999999</c:v>
                </c:pt>
                <c:pt idx="3">
                  <c:v>59.998696171056068</c:v>
                </c:pt>
                <c:pt idx="4">
                  <c:v>59.998696171056068</c:v>
                </c:pt>
                <c:pt idx="5">
                  <c:v>59.998696171056068</c:v>
                </c:pt>
                <c:pt idx="6">
                  <c:v>73.324892342112136</c:v>
                </c:pt>
                <c:pt idx="7">
                  <c:v>73.324892342112136</c:v>
                </c:pt>
                <c:pt idx="8">
                  <c:v>73.324892342112136</c:v>
                </c:pt>
                <c:pt idx="9">
                  <c:v>74.876913342951923</c:v>
                </c:pt>
                <c:pt idx="10">
                  <c:v>74.876913342951923</c:v>
                </c:pt>
                <c:pt idx="11">
                  <c:v>74.876913342951923</c:v>
                </c:pt>
                <c:pt idx="12">
                  <c:v>76.428934343791724</c:v>
                </c:pt>
                <c:pt idx="13">
                  <c:v>76.428934343791724</c:v>
                </c:pt>
                <c:pt idx="14">
                  <c:v>76.428934343791724</c:v>
                </c:pt>
                <c:pt idx="15">
                  <c:v>76.428934343791724</c:v>
                </c:pt>
                <c:pt idx="16">
                  <c:v>76.428934343791724</c:v>
                </c:pt>
                <c:pt idx="17">
                  <c:v>76.428934343791724</c:v>
                </c:pt>
                <c:pt idx="18">
                  <c:v>76.428934343791724</c:v>
                </c:pt>
                <c:pt idx="19">
                  <c:v>76.428934343791724</c:v>
                </c:pt>
                <c:pt idx="20">
                  <c:v>76.428934343791724</c:v>
                </c:pt>
                <c:pt idx="21">
                  <c:v>76.428934343791724</c:v>
                </c:pt>
                <c:pt idx="22">
                  <c:v>76.428934343791724</c:v>
                </c:pt>
                <c:pt idx="23">
                  <c:v>76.428934343791724</c:v>
                </c:pt>
                <c:pt idx="24">
                  <c:v>74.876913342951923</c:v>
                </c:pt>
                <c:pt idx="25">
                  <c:v>74.876913342951923</c:v>
                </c:pt>
                <c:pt idx="26">
                  <c:v>74.876913342951923</c:v>
                </c:pt>
                <c:pt idx="27">
                  <c:v>73.324892342112136</c:v>
                </c:pt>
                <c:pt idx="28">
                  <c:v>73.324892342112136</c:v>
                </c:pt>
                <c:pt idx="29">
                  <c:v>73.324892342112136</c:v>
                </c:pt>
                <c:pt idx="30">
                  <c:v>63.442101029721769</c:v>
                </c:pt>
                <c:pt idx="31">
                  <c:v>63.442101029721769</c:v>
                </c:pt>
                <c:pt idx="32">
                  <c:v>63.442101029721769</c:v>
                </c:pt>
                <c:pt idx="33">
                  <c:v>53.559309717331395</c:v>
                </c:pt>
                <c:pt idx="34">
                  <c:v>53.559309717331395</c:v>
                </c:pt>
                <c:pt idx="35">
                  <c:v>53.559309717331395</c:v>
                </c:pt>
                <c:pt idx="36">
                  <c:v>51.837607287998551</c:v>
                </c:pt>
                <c:pt idx="37">
                  <c:v>51.837607287998551</c:v>
                </c:pt>
                <c:pt idx="38">
                  <c:v>51.837607287998551</c:v>
                </c:pt>
                <c:pt idx="39">
                  <c:v>50.115904858665701</c:v>
                </c:pt>
                <c:pt idx="40">
                  <c:v>50.115904858665701</c:v>
                </c:pt>
                <c:pt idx="41">
                  <c:v>50.115904858665701</c:v>
                </c:pt>
                <c:pt idx="42">
                  <c:v>50.115904858665701</c:v>
                </c:pt>
                <c:pt idx="43">
                  <c:v>50.115904858665701</c:v>
                </c:pt>
                <c:pt idx="44">
                  <c:v>50.115904858665701</c:v>
                </c:pt>
                <c:pt idx="45">
                  <c:v>50.115904858665701</c:v>
                </c:pt>
                <c:pt idx="46">
                  <c:v>50.115904858665701</c:v>
                </c:pt>
                <c:pt idx="47">
                  <c:v>50.115904858665701</c:v>
                </c:pt>
                <c:pt idx="48">
                  <c:v>50.115904858665701</c:v>
                </c:pt>
                <c:pt idx="49">
                  <c:v>50.115904858665701</c:v>
                </c:pt>
                <c:pt idx="50">
                  <c:v>50.115904858665701</c:v>
                </c:pt>
                <c:pt idx="51">
                  <c:v>51.837607287998551</c:v>
                </c:pt>
                <c:pt idx="52">
                  <c:v>51.837607287998551</c:v>
                </c:pt>
                <c:pt idx="53">
                  <c:v>51.837607287998551</c:v>
                </c:pt>
                <c:pt idx="54">
                  <c:v>53.559309717331395</c:v>
                </c:pt>
                <c:pt idx="55">
                  <c:v>53.559309717331395</c:v>
                </c:pt>
                <c:pt idx="56">
                  <c:v>53.559309717331395</c:v>
                </c:pt>
                <c:pt idx="57">
                  <c:v>67.498643031401357</c:v>
                </c:pt>
                <c:pt idx="58">
                  <c:v>67.498643031401357</c:v>
                </c:pt>
                <c:pt idx="59">
                  <c:v>67.498643031401357</c:v>
                </c:pt>
                <c:pt idx="60">
                  <c:v>79.532976345471326</c:v>
                </c:pt>
                <c:pt idx="61">
                  <c:v>79.532976345471326</c:v>
                </c:pt>
                <c:pt idx="62">
                  <c:v>79.532976345471326</c:v>
                </c:pt>
                <c:pt idx="63">
                  <c:v>81.437976345471327</c:v>
                </c:pt>
                <c:pt idx="64">
                  <c:v>81.437976345471327</c:v>
                </c:pt>
                <c:pt idx="65">
                  <c:v>81.437976345471327</c:v>
                </c:pt>
                <c:pt idx="66">
                  <c:v>83.462232259103502</c:v>
                </c:pt>
                <c:pt idx="67">
                  <c:v>83.462232259103502</c:v>
                </c:pt>
                <c:pt idx="68">
                  <c:v>83.462232259103502</c:v>
                </c:pt>
                <c:pt idx="69">
                  <c:v>85.486488172735662</c:v>
                </c:pt>
                <c:pt idx="70">
                  <c:v>85.486488172735662</c:v>
                </c:pt>
                <c:pt idx="71">
                  <c:v>85.486488172735662</c:v>
                </c:pt>
                <c:pt idx="72">
                  <c:v>85.486488172735662</c:v>
                </c:pt>
                <c:pt idx="73">
                  <c:v>85.486488172735662</c:v>
                </c:pt>
                <c:pt idx="74">
                  <c:v>85.486488172735662</c:v>
                </c:pt>
                <c:pt idx="75">
                  <c:v>85.486488172735662</c:v>
                </c:pt>
                <c:pt idx="76">
                  <c:v>85.486488172735662</c:v>
                </c:pt>
                <c:pt idx="77">
                  <c:v>85.486488172735662</c:v>
                </c:pt>
                <c:pt idx="78">
                  <c:v>85.299568629100719</c:v>
                </c:pt>
                <c:pt idx="79">
                  <c:v>85.299568629100719</c:v>
                </c:pt>
                <c:pt idx="80">
                  <c:v>85.299568629100719</c:v>
                </c:pt>
                <c:pt idx="81">
                  <c:v>85.299568629100719</c:v>
                </c:pt>
                <c:pt idx="82">
                  <c:v>85.299568629100719</c:v>
                </c:pt>
                <c:pt idx="83">
                  <c:v>85.299568629100719</c:v>
                </c:pt>
                <c:pt idx="84">
                  <c:v>83.18185294365108</c:v>
                </c:pt>
                <c:pt idx="85">
                  <c:v>83.18185294365108</c:v>
                </c:pt>
                <c:pt idx="86">
                  <c:v>83.18185294365108</c:v>
                </c:pt>
                <c:pt idx="87">
                  <c:v>81.064137258201427</c:v>
                </c:pt>
                <c:pt idx="88">
                  <c:v>81.064137258201427</c:v>
                </c:pt>
                <c:pt idx="89">
                  <c:v>81.064137258201427</c:v>
                </c:pt>
                <c:pt idx="90">
                  <c:v>80.111637258201426</c:v>
                </c:pt>
                <c:pt idx="91">
                  <c:v>80.111637258201426</c:v>
                </c:pt>
                <c:pt idx="92">
                  <c:v>80.111637258201426</c:v>
                </c:pt>
                <c:pt idx="93">
                  <c:v>79.159137258201426</c:v>
                </c:pt>
                <c:pt idx="94">
                  <c:v>79.159137258201426</c:v>
                </c:pt>
                <c:pt idx="95">
                  <c:v>79.159137258201426</c:v>
                </c:pt>
                <c:pt idx="96">
                  <c:v>76.972176051413783</c:v>
                </c:pt>
                <c:pt idx="97">
                  <c:v>76.972176051413783</c:v>
                </c:pt>
                <c:pt idx="98">
                  <c:v>76.972176051413783</c:v>
                </c:pt>
                <c:pt idx="99">
                  <c:v>74.319544993227268</c:v>
                </c:pt>
                <c:pt idx="100">
                  <c:v>74.319544993227268</c:v>
                </c:pt>
                <c:pt idx="101">
                  <c:v>74.319544993227268</c:v>
                </c:pt>
                <c:pt idx="102">
                  <c:v>73.853875141828411</c:v>
                </c:pt>
                <c:pt idx="103">
                  <c:v>73.853875141828411</c:v>
                </c:pt>
                <c:pt idx="104">
                  <c:v>73.853875141828411</c:v>
                </c:pt>
                <c:pt idx="105">
                  <c:v>73.570674078766743</c:v>
                </c:pt>
                <c:pt idx="106">
                  <c:v>73.570674078766743</c:v>
                </c:pt>
                <c:pt idx="107">
                  <c:v>73.570674078766743</c:v>
                </c:pt>
                <c:pt idx="108">
                  <c:v>73.287473015705075</c:v>
                </c:pt>
                <c:pt idx="109">
                  <c:v>73.287473015705075</c:v>
                </c:pt>
                <c:pt idx="110">
                  <c:v>73.287473015705075</c:v>
                </c:pt>
                <c:pt idx="111">
                  <c:v>73.287473015705075</c:v>
                </c:pt>
                <c:pt idx="112">
                  <c:v>73.287473015705075</c:v>
                </c:pt>
                <c:pt idx="113">
                  <c:v>73.287473015705075</c:v>
                </c:pt>
                <c:pt idx="114">
                  <c:v>69.884625356322942</c:v>
                </c:pt>
                <c:pt idx="115">
                  <c:v>69.884625356322942</c:v>
                </c:pt>
                <c:pt idx="116">
                  <c:v>69.884625356322942</c:v>
                </c:pt>
                <c:pt idx="117">
                  <c:v>66.481777696940782</c:v>
                </c:pt>
                <c:pt idx="118">
                  <c:v>66.481777696940782</c:v>
                </c:pt>
                <c:pt idx="119">
                  <c:v>66.481777696940782</c:v>
                </c:pt>
                <c:pt idx="120">
                  <c:v>64.606077977510012</c:v>
                </c:pt>
                <c:pt idx="121">
                  <c:v>64.606077977510012</c:v>
                </c:pt>
                <c:pt idx="122">
                  <c:v>64.606077977510012</c:v>
                </c:pt>
                <c:pt idx="123">
                  <c:v>60.125391322341798</c:v>
                </c:pt>
                <c:pt idx="124">
                  <c:v>60.125391322341798</c:v>
                </c:pt>
                <c:pt idx="125">
                  <c:v>60.125391322341798</c:v>
                </c:pt>
                <c:pt idx="126">
                  <c:v>55.644704667173585</c:v>
                </c:pt>
                <c:pt idx="127">
                  <c:v>55.644704667173585</c:v>
                </c:pt>
                <c:pt idx="128">
                  <c:v>55.644704667173585</c:v>
                </c:pt>
                <c:pt idx="129">
                  <c:v>55.644704667173585</c:v>
                </c:pt>
                <c:pt idx="130">
                  <c:v>55.644704667173585</c:v>
                </c:pt>
                <c:pt idx="131">
                  <c:v>55.644704667173585</c:v>
                </c:pt>
                <c:pt idx="132">
                  <c:v>56.51451193557223</c:v>
                </c:pt>
                <c:pt idx="133">
                  <c:v>56.51451193557223</c:v>
                </c:pt>
                <c:pt idx="134">
                  <c:v>56.51451193557223</c:v>
                </c:pt>
                <c:pt idx="135">
                  <c:v>56.967808596760086</c:v>
                </c:pt>
                <c:pt idx="136">
                  <c:v>56.967808596760086</c:v>
                </c:pt>
                <c:pt idx="137">
                  <c:v>56.967808596760086</c:v>
                </c:pt>
                <c:pt idx="138">
                  <c:v>57.176063900365477</c:v>
                </c:pt>
                <c:pt idx="139">
                  <c:v>57.176063900365477</c:v>
                </c:pt>
                <c:pt idx="140">
                  <c:v>57.176063900365477</c:v>
                </c:pt>
              </c:numCache>
            </c:numRef>
          </c:xVal>
          <c:yVal>
            <c:numRef>
              <c:f>Path!$K$27:$K$167</c:f>
              <c:numCache>
                <c:formatCode>0.0</c:formatCode>
                <c:ptCount val="141"/>
                <c:pt idx="0">
                  <c:v>22.433638611605865</c:v>
                </c:pt>
                <c:pt idx="1">
                  <c:v>22.433638611605865</c:v>
                </c:pt>
                <c:pt idx="2">
                  <c:v>22.433638611605865</c:v>
                </c:pt>
                <c:pt idx="3">
                  <c:v>22.433638611605865</c:v>
                </c:pt>
                <c:pt idx="4">
                  <c:v>22.433638611605865</c:v>
                </c:pt>
                <c:pt idx="5">
                  <c:v>22.433638611605865</c:v>
                </c:pt>
                <c:pt idx="6">
                  <c:v>22.433638611605865</c:v>
                </c:pt>
                <c:pt idx="7">
                  <c:v>22.433638611605865</c:v>
                </c:pt>
                <c:pt idx="8">
                  <c:v>22.433638611605865</c:v>
                </c:pt>
                <c:pt idx="9">
                  <c:v>22.433638611605865</c:v>
                </c:pt>
                <c:pt idx="10">
                  <c:v>22.433638611605865</c:v>
                </c:pt>
                <c:pt idx="11">
                  <c:v>22.433638611605865</c:v>
                </c:pt>
                <c:pt idx="12">
                  <c:v>20.986806310208664</c:v>
                </c:pt>
                <c:pt idx="13">
                  <c:v>20.986806310208664</c:v>
                </c:pt>
                <c:pt idx="14">
                  <c:v>20.986806310208664</c:v>
                </c:pt>
                <c:pt idx="15">
                  <c:v>19.539974008811463</c:v>
                </c:pt>
                <c:pt idx="16">
                  <c:v>19.539974008811463</c:v>
                </c:pt>
                <c:pt idx="17">
                  <c:v>19.539974008811463</c:v>
                </c:pt>
                <c:pt idx="18">
                  <c:v>17.634974008811461</c:v>
                </c:pt>
                <c:pt idx="19">
                  <c:v>17.634974008811461</c:v>
                </c:pt>
                <c:pt idx="20">
                  <c:v>17.634974008811461</c:v>
                </c:pt>
                <c:pt idx="21">
                  <c:v>16.003784738232181</c:v>
                </c:pt>
                <c:pt idx="22">
                  <c:v>16.003784738232181</c:v>
                </c:pt>
                <c:pt idx="23">
                  <c:v>16.003784738232181</c:v>
                </c:pt>
                <c:pt idx="24">
                  <c:v>14.3725954676529</c:v>
                </c:pt>
                <c:pt idx="25">
                  <c:v>14.3725954676529</c:v>
                </c:pt>
                <c:pt idx="26">
                  <c:v>14.3725954676529</c:v>
                </c:pt>
                <c:pt idx="27">
                  <c:v>14.3725954676529</c:v>
                </c:pt>
                <c:pt idx="28">
                  <c:v>14.3725954676529</c:v>
                </c:pt>
                <c:pt idx="29">
                  <c:v>14.3725954676529</c:v>
                </c:pt>
                <c:pt idx="30">
                  <c:v>14.3725954676529</c:v>
                </c:pt>
                <c:pt idx="31">
                  <c:v>14.3725954676529</c:v>
                </c:pt>
                <c:pt idx="32">
                  <c:v>14.3725954676529</c:v>
                </c:pt>
                <c:pt idx="33">
                  <c:v>14.3725954676529</c:v>
                </c:pt>
                <c:pt idx="34">
                  <c:v>14.3725954676529</c:v>
                </c:pt>
                <c:pt idx="35">
                  <c:v>14.3725954676529</c:v>
                </c:pt>
                <c:pt idx="36">
                  <c:v>14.3725954676529</c:v>
                </c:pt>
                <c:pt idx="37">
                  <c:v>14.3725954676529</c:v>
                </c:pt>
                <c:pt idx="38">
                  <c:v>14.3725954676529</c:v>
                </c:pt>
                <c:pt idx="39">
                  <c:v>12.741406197073619</c:v>
                </c:pt>
                <c:pt idx="40">
                  <c:v>12.741406197073619</c:v>
                </c:pt>
                <c:pt idx="41">
                  <c:v>12.741406197073619</c:v>
                </c:pt>
                <c:pt idx="42">
                  <c:v>11.11021692649434</c:v>
                </c:pt>
                <c:pt idx="43">
                  <c:v>11.11021692649434</c:v>
                </c:pt>
                <c:pt idx="44">
                  <c:v>11.11021692649434</c:v>
                </c:pt>
                <c:pt idx="45">
                  <c:v>9.2052169264943409</c:v>
                </c:pt>
                <c:pt idx="46">
                  <c:v>9.2052169264943409</c:v>
                </c:pt>
                <c:pt idx="47">
                  <c:v>9.2052169264943409</c:v>
                </c:pt>
                <c:pt idx="48">
                  <c:v>7.380162694870755</c:v>
                </c:pt>
                <c:pt idx="49">
                  <c:v>7.380162694870755</c:v>
                </c:pt>
                <c:pt idx="50">
                  <c:v>7.380162694870755</c:v>
                </c:pt>
                <c:pt idx="51">
                  <c:v>5.5551084632471701</c:v>
                </c:pt>
                <c:pt idx="52">
                  <c:v>5.5551084632471701</c:v>
                </c:pt>
                <c:pt idx="53">
                  <c:v>5.5551084632471701</c:v>
                </c:pt>
                <c:pt idx="54">
                  <c:v>5.5551084632471701</c:v>
                </c:pt>
                <c:pt idx="55">
                  <c:v>5.5551084632471701</c:v>
                </c:pt>
                <c:pt idx="56">
                  <c:v>5.5551084632471701</c:v>
                </c:pt>
                <c:pt idx="57">
                  <c:v>5.5551084632471701</c:v>
                </c:pt>
                <c:pt idx="58">
                  <c:v>5.5551084632471701</c:v>
                </c:pt>
                <c:pt idx="59">
                  <c:v>5.5551084632471701</c:v>
                </c:pt>
                <c:pt idx="60">
                  <c:v>5.5551084632471701</c:v>
                </c:pt>
                <c:pt idx="61">
                  <c:v>5.5551084632471701</c:v>
                </c:pt>
                <c:pt idx="62">
                  <c:v>5.5551084632471701</c:v>
                </c:pt>
                <c:pt idx="63">
                  <c:v>5.5551084632471701</c:v>
                </c:pt>
                <c:pt idx="64">
                  <c:v>5.5551084632471701</c:v>
                </c:pt>
                <c:pt idx="65">
                  <c:v>5.5551084632471701</c:v>
                </c:pt>
                <c:pt idx="66">
                  <c:v>5.5551084632471701</c:v>
                </c:pt>
                <c:pt idx="67">
                  <c:v>5.5551084632471701</c:v>
                </c:pt>
                <c:pt idx="68">
                  <c:v>5.5551084632471701</c:v>
                </c:pt>
                <c:pt idx="69">
                  <c:v>7.380162694870755</c:v>
                </c:pt>
                <c:pt idx="70">
                  <c:v>7.380162694870755</c:v>
                </c:pt>
                <c:pt idx="71">
                  <c:v>7.380162694870755</c:v>
                </c:pt>
                <c:pt idx="72">
                  <c:v>9.2052169264943409</c:v>
                </c:pt>
                <c:pt idx="73">
                  <c:v>9.2052169264943409</c:v>
                </c:pt>
                <c:pt idx="74">
                  <c:v>9.2052169264943409</c:v>
                </c:pt>
                <c:pt idx="75">
                  <c:v>27.232303214400272</c:v>
                </c:pt>
                <c:pt idx="76">
                  <c:v>27.232303214400272</c:v>
                </c:pt>
                <c:pt idx="77">
                  <c:v>27.232303214400272</c:v>
                </c:pt>
                <c:pt idx="78">
                  <c:v>45.313582677165357</c:v>
                </c:pt>
                <c:pt idx="79">
                  <c:v>45.313582677165357</c:v>
                </c:pt>
                <c:pt idx="80">
                  <c:v>45.313582677165357</c:v>
                </c:pt>
                <c:pt idx="81">
                  <c:v>47.478937007874016</c:v>
                </c:pt>
                <c:pt idx="82">
                  <c:v>47.478937007874016</c:v>
                </c:pt>
                <c:pt idx="83">
                  <c:v>47.478937007874016</c:v>
                </c:pt>
                <c:pt idx="84">
                  <c:v>49.644291338582676</c:v>
                </c:pt>
                <c:pt idx="85">
                  <c:v>49.644291338582676</c:v>
                </c:pt>
                <c:pt idx="86">
                  <c:v>49.644291338582676</c:v>
                </c:pt>
                <c:pt idx="87">
                  <c:v>49.644291338582676</c:v>
                </c:pt>
                <c:pt idx="88">
                  <c:v>49.644291338582676</c:v>
                </c:pt>
                <c:pt idx="89">
                  <c:v>49.644291338582676</c:v>
                </c:pt>
                <c:pt idx="90">
                  <c:v>49.644291338582676</c:v>
                </c:pt>
                <c:pt idx="91">
                  <c:v>49.644291338582676</c:v>
                </c:pt>
                <c:pt idx="92">
                  <c:v>49.644291338582676</c:v>
                </c:pt>
                <c:pt idx="93">
                  <c:v>49.644291338582676</c:v>
                </c:pt>
                <c:pt idx="94">
                  <c:v>49.644291338582676</c:v>
                </c:pt>
                <c:pt idx="95">
                  <c:v>49.644291338582676</c:v>
                </c:pt>
                <c:pt idx="96">
                  <c:v>49.644291338582676</c:v>
                </c:pt>
                <c:pt idx="97">
                  <c:v>49.644291338582676</c:v>
                </c:pt>
                <c:pt idx="98">
                  <c:v>49.644291338582676</c:v>
                </c:pt>
                <c:pt idx="99">
                  <c:v>47.810473305320421</c:v>
                </c:pt>
                <c:pt idx="100">
                  <c:v>47.810473305320421</c:v>
                </c:pt>
                <c:pt idx="101">
                  <c:v>47.810473305320421</c:v>
                </c:pt>
                <c:pt idx="102">
                  <c:v>45.976655272058153</c:v>
                </c:pt>
                <c:pt idx="103">
                  <c:v>45.976655272058153</c:v>
                </c:pt>
                <c:pt idx="104">
                  <c:v>45.976655272058153</c:v>
                </c:pt>
                <c:pt idx="105">
                  <c:v>43.710755757057797</c:v>
                </c:pt>
                <c:pt idx="106">
                  <c:v>43.710755757057797</c:v>
                </c:pt>
                <c:pt idx="107">
                  <c:v>43.710755757057797</c:v>
                </c:pt>
                <c:pt idx="108">
                  <c:v>41.444856242057483</c:v>
                </c:pt>
                <c:pt idx="109">
                  <c:v>41.444856242057483</c:v>
                </c:pt>
                <c:pt idx="110">
                  <c:v>41.444856242057483</c:v>
                </c:pt>
                <c:pt idx="111">
                  <c:v>38.075183927080133</c:v>
                </c:pt>
                <c:pt idx="112">
                  <c:v>38.075183927080133</c:v>
                </c:pt>
                <c:pt idx="113">
                  <c:v>38.075183927080133</c:v>
                </c:pt>
                <c:pt idx="114">
                  <c:v>34.705511612102782</c:v>
                </c:pt>
                <c:pt idx="115">
                  <c:v>34.705511612102782</c:v>
                </c:pt>
                <c:pt idx="116">
                  <c:v>34.705511612102782</c:v>
                </c:pt>
                <c:pt idx="117">
                  <c:v>34.705511612102782</c:v>
                </c:pt>
                <c:pt idx="118">
                  <c:v>34.705511612102782</c:v>
                </c:pt>
                <c:pt idx="119">
                  <c:v>34.705511612102782</c:v>
                </c:pt>
                <c:pt idx="120">
                  <c:v>34.939943964910441</c:v>
                </c:pt>
                <c:pt idx="121">
                  <c:v>34.939943964910441</c:v>
                </c:pt>
                <c:pt idx="122">
                  <c:v>34.939943964910441</c:v>
                </c:pt>
                <c:pt idx="123">
                  <c:v>34.939943964910441</c:v>
                </c:pt>
                <c:pt idx="124">
                  <c:v>34.939943964910441</c:v>
                </c:pt>
                <c:pt idx="125">
                  <c:v>34.939943964910441</c:v>
                </c:pt>
                <c:pt idx="126">
                  <c:v>38.793764340165538</c:v>
                </c:pt>
                <c:pt idx="127">
                  <c:v>38.793764340165538</c:v>
                </c:pt>
                <c:pt idx="128">
                  <c:v>38.793764340165538</c:v>
                </c:pt>
                <c:pt idx="129">
                  <c:v>43.888013469524623</c:v>
                </c:pt>
                <c:pt idx="130">
                  <c:v>43.888013469524623</c:v>
                </c:pt>
                <c:pt idx="131">
                  <c:v>43.888013469524623</c:v>
                </c:pt>
                <c:pt idx="132">
                  <c:v>50.847365409453822</c:v>
                </c:pt>
                <c:pt idx="133">
                  <c:v>50.847365409453822</c:v>
                </c:pt>
                <c:pt idx="134">
                  <c:v>50.847365409453822</c:v>
                </c:pt>
                <c:pt idx="135">
                  <c:v>54.474204495552769</c:v>
                </c:pt>
                <c:pt idx="136">
                  <c:v>54.474204495552769</c:v>
                </c:pt>
                <c:pt idx="137">
                  <c:v>54.474204495552769</c:v>
                </c:pt>
                <c:pt idx="138">
                  <c:v>56.140460922467909</c:v>
                </c:pt>
                <c:pt idx="139">
                  <c:v>56.140460922467909</c:v>
                </c:pt>
                <c:pt idx="140">
                  <c:v>56.140460922467909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D00-4B41-8527-553A312D784B}"/>
            </c:ext>
          </c:extLst>
        </c:ser>
        <c:ser>
          <c:idx val="0"/>
          <c:order val="4"/>
          <c:tx>
            <c:v>Axes</c:v>
          </c:tx>
          <c:spPr>
            <a:ln w="0"/>
          </c:spPr>
          <c:marker>
            <c:symbol val="none"/>
          </c:marker>
          <c:xVal>
            <c:numRef>
              <c:f>Panels!$F$120:$F$124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91.44</c:v>
                </c:pt>
              </c:numCache>
            </c:numRef>
          </c:xVal>
          <c:yVal>
            <c:numRef>
              <c:f>Panels!$G$120:$G$124</c:f>
              <c:numCache>
                <c:formatCode>0.0</c:formatCode>
                <c:ptCount val="5"/>
                <c:pt idx="0">
                  <c:v>0</c:v>
                </c:pt>
                <c:pt idx="1">
                  <c:v>91.44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D00-4B41-8527-553A312D784B}"/>
            </c:ext>
          </c:extLst>
        </c:ser>
        <c:ser>
          <c:idx val="3"/>
          <c:order val="5"/>
          <c:tx>
            <c:v>Center</c:v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Panels!$F$117:$F$118</c:f>
              <c:numCache>
                <c:formatCode>0.0</c:formatCode>
                <c:ptCount val="2"/>
                <c:pt idx="0">
                  <c:v>45.72</c:v>
                </c:pt>
                <c:pt idx="1">
                  <c:v>45.72</c:v>
                </c:pt>
              </c:numCache>
            </c:numRef>
          </c:xVal>
          <c:yVal>
            <c:numRef>
              <c:f>Panels!$G$117:$G$118</c:f>
              <c:numCache>
                <c:formatCode>0.0</c:formatCode>
                <c:ptCount val="2"/>
                <c:pt idx="0">
                  <c:v>27.232303214400272</c:v>
                </c:pt>
                <c:pt idx="1">
                  <c:v>55.88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D00-4B41-8527-553A312D7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902424"/>
        <c:axId val="1"/>
      </c:scatterChart>
      <c:valAx>
        <c:axId val="31990242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Width</a:t>
                </a:r>
              </a:p>
            </c:rich>
          </c:tx>
          <c:layout>
            <c:manualLayout>
              <c:xMode val="edge"/>
              <c:yMode val="edge"/>
              <c:x val="0.51388980023330422"/>
              <c:y val="0.935368043087971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Depth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23698384201077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9902424"/>
        <c:crosses val="autoZero"/>
        <c:crossBetween val="midCat"/>
      </c:valAx>
      <c:spPr>
        <a:noFill/>
        <a:ln w="12700">
          <a:solidFill>
            <a:srgbClr val="00000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314325</xdr:colOff>
      <xdr:row>39</xdr:row>
      <xdr:rowOff>9525</xdr:rowOff>
    </xdr:from>
    <xdr:to>
      <xdr:col>29</xdr:col>
      <xdr:colOff>0</xdr:colOff>
      <xdr:row>61</xdr:row>
      <xdr:rowOff>28575</xdr:rowOff>
    </xdr:to>
    <xdr:graphicFrame macro="">
      <xdr:nvGraphicFramePr>
        <xdr:cNvPr id="11305" name="Chart 5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51</xdr:row>
          <xdr:rowOff>104775</xdr:rowOff>
        </xdr:from>
        <xdr:to>
          <xdr:col>12</xdr:col>
          <xdr:colOff>819150</xdr:colOff>
          <xdr:row>54</xdr:row>
          <xdr:rowOff>85725</xdr:rowOff>
        </xdr:to>
        <xdr:sp macro="" textlink="">
          <xdr:nvSpPr>
            <xdr:cNvPr id="11323" name="Button 59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0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029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Export!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22</xdr:row>
          <xdr:rowOff>47625</xdr:rowOff>
        </xdr:from>
        <xdr:to>
          <xdr:col>13</xdr:col>
          <xdr:colOff>19050</xdr:colOff>
          <xdr:row>26</xdr:row>
          <xdr:rowOff>76200</xdr:rowOff>
        </xdr:to>
        <xdr:sp macro="" textlink="">
          <xdr:nvSpPr>
            <xdr:cNvPr id="11324" name="Button 60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0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029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Optimize!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13</xdr:col>
      <xdr:colOff>314325</xdr:colOff>
      <xdr:row>3</xdr:row>
      <xdr:rowOff>76200</xdr:rowOff>
    </xdr:from>
    <xdr:to>
      <xdr:col>29</xdr:col>
      <xdr:colOff>0</xdr:colOff>
      <xdr:row>38</xdr:row>
      <xdr:rowOff>38100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U346"/>
  <sheetViews>
    <sheetView showGridLines="0" tabSelected="1" topLeftCell="A7" workbookViewId="0">
      <selection activeCell="D14" sqref="D14"/>
    </sheetView>
  </sheetViews>
  <sheetFormatPr defaultRowHeight="11.25" x14ac:dyDescent="0.2"/>
  <cols>
    <col min="1" max="1" width="2.140625" style="12" bestFit="1" customWidth="1"/>
    <col min="2" max="2" width="15" style="12" bestFit="1" customWidth="1"/>
    <col min="3" max="3" width="1.85546875" style="12" bestFit="1" customWidth="1"/>
    <col min="4" max="4" width="5.85546875" style="12" bestFit="1" customWidth="1"/>
    <col min="5" max="5" width="6.140625" style="12" customWidth="1"/>
    <col min="6" max="6" width="5.7109375" style="12" customWidth="1"/>
    <col min="7" max="7" width="4.5703125" style="12" customWidth="1"/>
    <col min="8" max="8" width="5.85546875" style="12" bestFit="1" customWidth="1"/>
    <col min="9" max="9" width="5.42578125" style="12" bestFit="1" customWidth="1"/>
    <col min="10" max="10" width="6.42578125" style="12" bestFit="1" customWidth="1"/>
    <col min="11" max="11" width="5.140625" style="12" customWidth="1"/>
    <col min="12" max="12" width="9.7109375" style="12" bestFit="1" customWidth="1"/>
    <col min="13" max="13" width="12.42578125" style="12" customWidth="1"/>
    <col min="14" max="14" width="4.85546875" style="12" bestFit="1" customWidth="1"/>
    <col min="15" max="15" width="3.7109375" style="12" bestFit="1" customWidth="1"/>
    <col min="16" max="17" width="4" style="12" bestFit="1" customWidth="1"/>
    <col min="18" max="18" width="10.42578125" style="12" bestFit="1" customWidth="1"/>
    <col min="19" max="19" width="3.7109375" style="12" bestFit="1" customWidth="1"/>
    <col min="20" max="21" width="4" style="12" bestFit="1" customWidth="1"/>
    <col min="22" max="22" width="5.7109375" style="12" bestFit="1" customWidth="1"/>
    <col min="23" max="24" width="4.85546875" style="12" bestFit="1" customWidth="1"/>
    <col min="25" max="25" width="5.7109375" style="12" bestFit="1" customWidth="1"/>
    <col min="26" max="26" width="4.85546875" style="12" bestFit="1" customWidth="1"/>
    <col min="27" max="28" width="9.85546875" style="12" customWidth="1"/>
    <col min="29" max="31" width="2.5703125" style="12" customWidth="1"/>
    <col min="32" max="32" width="17.85546875" style="12" bestFit="1" customWidth="1"/>
    <col min="33" max="33" width="2.7109375" style="12" bestFit="1" customWidth="1"/>
    <col min="34" max="34" width="5.28515625" style="12" bestFit="1" customWidth="1"/>
    <col min="35" max="36" width="4" style="12" bestFit="1" customWidth="1"/>
    <col min="37" max="37" width="4.85546875" style="12" bestFit="1" customWidth="1"/>
    <col min="38" max="38" width="4" style="12" bestFit="1" customWidth="1"/>
    <col min="39" max="39" width="4.42578125" style="12" bestFit="1" customWidth="1"/>
    <col min="40" max="40" width="5.42578125" style="12" bestFit="1" customWidth="1"/>
    <col min="41" max="41" width="4.5703125" style="12" bestFit="1" customWidth="1"/>
    <col min="42" max="42" width="4.85546875" style="12" bestFit="1" customWidth="1"/>
    <col min="43" max="43" width="3" style="12" bestFit="1" customWidth="1"/>
    <col min="44" max="44" width="4" style="12" bestFit="1" customWidth="1"/>
    <col min="45" max="45" width="4.85546875" style="12" bestFit="1" customWidth="1"/>
    <col min="46" max="47" width="4.42578125" style="12" bestFit="1" customWidth="1"/>
    <col min="48" max="48" width="5" style="12" bestFit="1" customWidth="1"/>
    <col min="49" max="49" width="2" style="12" bestFit="1" customWidth="1"/>
    <col min="50" max="50" width="4.42578125" style="12" bestFit="1" customWidth="1"/>
    <col min="51" max="51" width="5" style="12" bestFit="1" customWidth="1"/>
    <col min="52" max="52" width="3.7109375" style="12" bestFit="1" customWidth="1"/>
    <col min="53" max="16384" width="9.140625" style="12"/>
  </cols>
  <sheetData>
    <row r="1" spans="2:12" x14ac:dyDescent="0.2">
      <c r="B1" s="11" t="s">
        <v>67</v>
      </c>
      <c r="C1" s="11" t="s">
        <v>0</v>
      </c>
      <c r="D1" s="11">
        <v>0.4</v>
      </c>
    </row>
    <row r="3" spans="2:12" ht="12" thickBot="1" x14ac:dyDescent="0.25">
      <c r="B3" s="11" t="s">
        <v>31</v>
      </c>
    </row>
    <row r="4" spans="2:12" ht="12" thickBot="1" x14ac:dyDescent="0.25">
      <c r="B4" s="17" t="s">
        <v>34</v>
      </c>
      <c r="C4" s="18" t="s">
        <v>0</v>
      </c>
      <c r="D4" s="19">
        <v>32</v>
      </c>
      <c r="E4" s="12" t="s">
        <v>32</v>
      </c>
      <c r="F4" s="143">
        <f>D4/2.54</f>
        <v>12.598425196850393</v>
      </c>
      <c r="G4" s="12" t="s">
        <v>68</v>
      </c>
      <c r="I4" s="20"/>
      <c r="J4" s="21" t="s">
        <v>37</v>
      </c>
      <c r="K4" s="21"/>
      <c r="L4" s="22"/>
    </row>
    <row r="5" spans="2:12" ht="13.5" thickBot="1" x14ac:dyDescent="0.25">
      <c r="B5" s="17" t="s">
        <v>39</v>
      </c>
      <c r="C5" s="18" t="s">
        <v>0</v>
      </c>
      <c r="D5" s="19">
        <v>30</v>
      </c>
      <c r="E5" s="12" t="s">
        <v>32</v>
      </c>
      <c r="F5" s="143">
        <f t="shared" ref="F5:F8" si="0">D5/2.54</f>
        <v>11.811023622047244</v>
      </c>
      <c r="G5" s="12" t="s">
        <v>68</v>
      </c>
      <c r="I5" s="52" t="s">
        <v>3</v>
      </c>
      <c r="J5" s="249" t="s">
        <v>30</v>
      </c>
      <c r="K5" s="250"/>
      <c r="L5" s="251"/>
    </row>
    <row r="6" spans="2:12" ht="13.5" thickBot="1" x14ac:dyDescent="0.25">
      <c r="B6" s="17" t="s">
        <v>46</v>
      </c>
      <c r="C6" s="18" t="s">
        <v>0</v>
      </c>
      <c r="D6" s="26">
        <v>15.24</v>
      </c>
      <c r="E6" s="12" t="s">
        <v>32</v>
      </c>
      <c r="F6" s="143">
        <f t="shared" si="0"/>
        <v>6</v>
      </c>
      <c r="G6" s="12" t="s">
        <v>68</v>
      </c>
      <c r="I6" s="23" t="s">
        <v>3</v>
      </c>
      <c r="J6" s="255" t="s">
        <v>76</v>
      </c>
      <c r="K6" s="256"/>
      <c r="L6" s="256"/>
    </row>
    <row r="7" spans="2:12" ht="13.5" thickBot="1" x14ac:dyDescent="0.25">
      <c r="B7" s="17" t="s">
        <v>35</v>
      </c>
      <c r="C7" s="18" t="s">
        <v>0</v>
      </c>
      <c r="D7" s="19">
        <v>23</v>
      </c>
      <c r="E7" s="12" t="s">
        <v>32</v>
      </c>
      <c r="F7" s="143">
        <f t="shared" si="0"/>
        <v>9.0551181102362204</v>
      </c>
      <c r="G7" s="12" t="s">
        <v>68</v>
      </c>
      <c r="I7" s="33" t="s">
        <v>3</v>
      </c>
      <c r="J7" s="252" t="s">
        <v>31</v>
      </c>
      <c r="K7" s="253"/>
      <c r="L7" s="253"/>
    </row>
    <row r="8" spans="2:12" ht="12" thickBot="1" x14ac:dyDescent="0.25">
      <c r="B8" s="40" t="s">
        <v>36</v>
      </c>
      <c r="C8" s="41" t="s">
        <v>0</v>
      </c>
      <c r="D8" s="42">
        <v>5.0999999999999996</v>
      </c>
      <c r="E8" s="12" t="s">
        <v>32</v>
      </c>
      <c r="F8" s="143">
        <f t="shared" si="0"/>
        <v>2.0078740157480315</v>
      </c>
      <c r="G8" s="12" t="s">
        <v>68</v>
      </c>
    </row>
    <row r="9" spans="2:12" ht="12" thickBot="1" x14ac:dyDescent="0.25"/>
    <row r="10" spans="2:12" ht="12" thickBot="1" x14ac:dyDescent="0.25">
      <c r="B10" s="11" t="s">
        <v>82</v>
      </c>
      <c r="I10" s="43"/>
      <c r="J10" s="44" t="s">
        <v>37</v>
      </c>
      <c r="K10" s="44"/>
      <c r="L10" s="45"/>
    </row>
    <row r="11" spans="2:12" ht="13.5" thickBot="1" x14ac:dyDescent="0.25">
      <c r="B11" s="17" t="s">
        <v>20</v>
      </c>
      <c r="C11" s="18" t="s">
        <v>0</v>
      </c>
      <c r="D11" s="199">
        <v>350</v>
      </c>
      <c r="E11" s="12" t="s">
        <v>26</v>
      </c>
      <c r="F11" s="130">
        <f>D11/2.54^2</f>
        <v>54.250108500217003</v>
      </c>
      <c r="G11" s="12" t="s">
        <v>69</v>
      </c>
      <c r="I11" s="201" t="s">
        <v>3</v>
      </c>
      <c r="J11" s="254" t="s">
        <v>40</v>
      </c>
      <c r="K11" s="250"/>
      <c r="L11" s="251"/>
    </row>
    <row r="12" spans="2:12" ht="13.5" thickBot="1" x14ac:dyDescent="0.25">
      <c r="B12" s="17" t="s">
        <v>55</v>
      </c>
      <c r="C12" s="18" t="s">
        <v>0</v>
      </c>
      <c r="D12" s="200">
        <f>Path!D8</f>
        <v>350.13128230816085</v>
      </c>
      <c r="E12" s="12" t="s">
        <v>26</v>
      </c>
      <c r="F12" s="130">
        <f t="shared" ref="F12" si="1">D12/2.54^2</f>
        <v>54.270457298679531</v>
      </c>
      <c r="G12" s="12" t="s">
        <v>69</v>
      </c>
      <c r="I12" s="202" t="s">
        <v>3</v>
      </c>
      <c r="J12" s="241" t="s">
        <v>65</v>
      </c>
      <c r="K12" s="236"/>
      <c r="L12" s="237"/>
    </row>
    <row r="13" spans="2:12" ht="13.5" thickBot="1" x14ac:dyDescent="0.25">
      <c r="B13" s="17" t="s">
        <v>77</v>
      </c>
      <c r="C13" s="18" t="s">
        <v>0</v>
      </c>
      <c r="D13" s="199">
        <v>550</v>
      </c>
      <c r="E13" s="12" t="s">
        <v>26</v>
      </c>
      <c r="F13" s="130">
        <f t="shared" ref="F13:F14" si="2">D13/2.54^2</f>
        <v>85.250170500341</v>
      </c>
      <c r="G13" s="12" t="s">
        <v>69</v>
      </c>
      <c r="I13" s="202" t="s">
        <v>3</v>
      </c>
      <c r="J13" s="235" t="s">
        <v>41</v>
      </c>
      <c r="K13" s="236"/>
      <c r="L13" s="237"/>
    </row>
    <row r="14" spans="2:12" ht="13.5" thickBot="1" x14ac:dyDescent="0.25">
      <c r="B14" s="17" t="s">
        <v>21</v>
      </c>
      <c r="C14" s="18" t="s">
        <v>0</v>
      </c>
      <c r="D14" s="200">
        <f>Path!D10</f>
        <v>1114.6555626035329</v>
      </c>
      <c r="E14" s="12" t="s">
        <v>26</v>
      </c>
      <c r="F14" s="130">
        <f t="shared" si="2"/>
        <v>172.77195774746309</v>
      </c>
      <c r="G14" s="12" t="s">
        <v>69</v>
      </c>
      <c r="I14" s="202" t="s">
        <v>3</v>
      </c>
      <c r="J14" s="235" t="s">
        <v>42</v>
      </c>
      <c r="K14" s="236"/>
      <c r="L14" s="237"/>
    </row>
    <row r="15" spans="2:12" ht="13.5" thickBot="1" x14ac:dyDescent="0.25">
      <c r="B15" s="17" t="s">
        <v>79</v>
      </c>
      <c r="C15" s="18" t="s">
        <v>0</v>
      </c>
      <c r="D15" s="200">
        <f>Path!D11</f>
        <v>1466.2397247414367</v>
      </c>
      <c r="E15" s="12" t="s">
        <v>26</v>
      </c>
      <c r="F15" s="130">
        <f>D15/2.54^2</f>
        <v>227.26761187014642</v>
      </c>
      <c r="G15" s="12" t="s">
        <v>69</v>
      </c>
      <c r="H15" s="13"/>
      <c r="I15" s="202" t="s">
        <v>3</v>
      </c>
      <c r="J15" s="235" t="s">
        <v>49</v>
      </c>
      <c r="K15" s="236"/>
      <c r="L15" s="237"/>
    </row>
    <row r="16" spans="2:12" ht="13.5" thickBot="1" x14ac:dyDescent="0.25">
      <c r="B16" s="40" t="s">
        <v>33</v>
      </c>
      <c r="C16" s="41" t="s">
        <v>0</v>
      </c>
      <c r="D16" s="193">
        <f>Path!G8</f>
        <v>0.1</v>
      </c>
      <c r="E16" s="12" t="s">
        <v>32</v>
      </c>
      <c r="F16" s="143">
        <f t="shared" ref="F16" si="3">D16/2.54</f>
        <v>3.937007874015748E-2</v>
      </c>
      <c r="G16" s="12" t="s">
        <v>68</v>
      </c>
      <c r="I16" s="23" t="s">
        <v>3</v>
      </c>
      <c r="J16" s="235" t="s">
        <v>75</v>
      </c>
      <c r="K16" s="236"/>
      <c r="L16" s="237"/>
    </row>
    <row r="17" spans="2:13" ht="13.5" thickBot="1" x14ac:dyDescent="0.25">
      <c r="B17" s="17" t="s">
        <v>83</v>
      </c>
      <c r="C17" s="18" t="s">
        <v>0</v>
      </c>
      <c r="D17" s="51">
        <f>Path!G9</f>
        <v>152.24345191045742</v>
      </c>
      <c r="E17" s="12" t="s">
        <v>32</v>
      </c>
      <c r="F17" s="143">
        <f t="shared" ref="F17" si="4">D17/2.54</f>
        <v>59.938366893880875</v>
      </c>
      <c r="G17" s="12" t="s">
        <v>68</v>
      </c>
      <c r="I17" s="202" t="s">
        <v>3</v>
      </c>
      <c r="J17" s="235" t="s">
        <v>43</v>
      </c>
      <c r="K17" s="236"/>
      <c r="L17" s="237"/>
    </row>
    <row r="18" spans="2:13" ht="13.5" thickBot="1" x14ac:dyDescent="0.25">
      <c r="B18" s="17" t="s">
        <v>84</v>
      </c>
      <c r="C18" s="18" t="s">
        <v>0</v>
      </c>
      <c r="D18" s="51">
        <f>Path!G10</f>
        <v>32.75830697353598</v>
      </c>
      <c r="E18" s="12" t="s">
        <v>32</v>
      </c>
      <c r="F18" s="143">
        <f t="shared" ref="F18" si="5">D18/2.54</f>
        <v>12.896971249423615</v>
      </c>
      <c r="G18" s="12" t="s">
        <v>68</v>
      </c>
      <c r="I18" s="202" t="s">
        <v>3</v>
      </c>
      <c r="J18" s="235" t="s">
        <v>44</v>
      </c>
      <c r="K18" s="236"/>
      <c r="L18" s="237"/>
    </row>
    <row r="19" spans="2:13" ht="13.5" thickBot="1" x14ac:dyDescent="0.25">
      <c r="B19" s="17" t="s">
        <v>85</v>
      </c>
      <c r="C19" s="18" t="s">
        <v>0</v>
      </c>
      <c r="D19" s="51">
        <f>Path!G11</f>
        <v>20.397039670064601</v>
      </c>
      <c r="E19" s="12" t="s">
        <v>32</v>
      </c>
      <c r="F19" s="143">
        <f t="shared" ref="F19" si="6">D19/2.54</f>
        <v>8.0303305787655912</v>
      </c>
      <c r="G19" s="12" t="s">
        <v>68</v>
      </c>
      <c r="I19" s="202" t="s">
        <v>3</v>
      </c>
      <c r="J19" s="241" t="s">
        <v>45</v>
      </c>
      <c r="K19" s="236"/>
      <c r="L19" s="237"/>
    </row>
    <row r="20" spans="2:13" ht="13.5" thickBot="1" x14ac:dyDescent="0.25">
      <c r="I20" s="202" t="s">
        <v>3</v>
      </c>
      <c r="J20" s="241" t="s">
        <v>126</v>
      </c>
      <c r="K20" s="236"/>
      <c r="L20" s="237"/>
    </row>
    <row r="21" spans="2:13" ht="13.5" thickBot="1" x14ac:dyDescent="0.25">
      <c r="B21" s="17" t="s">
        <v>61</v>
      </c>
      <c r="C21" s="18" t="s">
        <v>0</v>
      </c>
      <c r="D21" s="19">
        <f>22*2.54</f>
        <v>55.88</v>
      </c>
      <c r="E21" s="12" t="s">
        <v>32</v>
      </c>
      <c r="F21" s="143">
        <f>D21/2.54</f>
        <v>22</v>
      </c>
      <c r="G21" s="12" t="s">
        <v>68</v>
      </c>
      <c r="I21" s="203" t="s">
        <v>3</v>
      </c>
      <c r="J21" s="238" t="s">
        <v>127</v>
      </c>
      <c r="K21" s="239"/>
      <c r="L21" s="240"/>
    </row>
    <row r="22" spans="2:13" ht="12" thickBot="1" x14ac:dyDescent="0.25">
      <c r="B22" s="53" t="s">
        <v>62</v>
      </c>
      <c r="C22" s="54" t="s">
        <v>0</v>
      </c>
      <c r="D22" s="55">
        <f>14*2.54</f>
        <v>35.56</v>
      </c>
      <c r="E22" s="12" t="s">
        <v>32</v>
      </c>
      <c r="F22" s="143">
        <f>D22/2.54</f>
        <v>14</v>
      </c>
      <c r="G22" s="12" t="s">
        <v>68</v>
      </c>
    </row>
    <row r="23" spans="2:13" ht="12" thickBot="1" x14ac:dyDescent="0.25">
      <c r="B23" s="17" t="s">
        <v>63</v>
      </c>
      <c r="C23" s="56" t="s">
        <v>0</v>
      </c>
      <c r="D23" s="19">
        <f>36*2.54</f>
        <v>91.44</v>
      </c>
      <c r="E23" s="57" t="s">
        <v>32</v>
      </c>
      <c r="F23" s="143">
        <f>D23/2.54</f>
        <v>36</v>
      </c>
      <c r="G23" s="12" t="s">
        <v>68</v>
      </c>
    </row>
    <row r="24" spans="2:13" ht="12" thickBot="1" x14ac:dyDescent="0.25">
      <c r="F24" s="13"/>
    </row>
    <row r="25" spans="2:13" ht="12" thickBot="1" x14ac:dyDescent="0.25">
      <c r="B25" s="17" t="s">
        <v>64</v>
      </c>
      <c r="C25" s="18" t="s">
        <v>0</v>
      </c>
      <c r="D25" s="51">
        <f>D23-2*D28</f>
        <v>87.63</v>
      </c>
      <c r="E25" s="12" t="s">
        <v>32</v>
      </c>
      <c r="F25" s="143">
        <f t="shared" ref="F25:F26" si="7">D25/2.54</f>
        <v>34.5</v>
      </c>
      <c r="G25" s="12" t="s">
        <v>68</v>
      </c>
    </row>
    <row r="26" spans="2:13" ht="12" thickBot="1" x14ac:dyDescent="0.25">
      <c r="B26" s="58" t="s">
        <v>60</v>
      </c>
      <c r="C26" s="59" t="s">
        <v>0</v>
      </c>
      <c r="D26" s="60">
        <f>Path!E11</f>
        <v>205.498798554058</v>
      </c>
      <c r="E26" s="12" t="s">
        <v>32</v>
      </c>
      <c r="F26" s="143">
        <f t="shared" si="7"/>
        <v>80.905038800810232</v>
      </c>
      <c r="G26" s="12" t="s">
        <v>68</v>
      </c>
    </row>
    <row r="27" spans="2:13" ht="12" thickBot="1" x14ac:dyDescent="0.25"/>
    <row r="28" spans="2:13" ht="12" thickBot="1" x14ac:dyDescent="0.25">
      <c r="B28" s="17" t="s">
        <v>7</v>
      </c>
      <c r="C28" s="18" t="s">
        <v>0</v>
      </c>
      <c r="D28" s="19">
        <f>0.75*2.54</f>
        <v>1.905</v>
      </c>
      <c r="E28" s="12" t="s">
        <v>32</v>
      </c>
      <c r="F28" s="143">
        <f>D28/2.54</f>
        <v>0.75</v>
      </c>
      <c r="G28" s="12" t="s">
        <v>68</v>
      </c>
      <c r="M28" s="198">
        <f>ABS(I39)+ABS(I42)+ABS(I43)+ABS(I44)+ABS(I45)+ABS(I46)+ABS(I48)+ABS(I49)+ABS(I50)+ABS(H15)</f>
        <v>2.5216613123006937E-3</v>
      </c>
    </row>
    <row r="30" spans="2:13" x14ac:dyDescent="0.2">
      <c r="B30" s="61" t="s">
        <v>24</v>
      </c>
      <c r="C30" s="62" t="s">
        <v>0</v>
      </c>
      <c r="D30" s="63">
        <f>D31-K51</f>
        <v>129.96631555923045</v>
      </c>
      <c r="E30" s="64" t="s">
        <v>22</v>
      </c>
      <c r="F30" s="64"/>
      <c r="G30" s="64"/>
      <c r="H30" s="65">
        <f>(D30*1000/2.54^3)/1728</f>
        <v>4.5897171189940407</v>
      </c>
      <c r="I30" s="66" t="s">
        <v>2</v>
      </c>
      <c r="J30" s="66"/>
      <c r="K30" s="66"/>
      <c r="L30" s="66"/>
      <c r="M30" s="67"/>
    </row>
    <row r="31" spans="2:13" x14ac:dyDescent="0.2">
      <c r="B31" s="68" t="s">
        <v>25</v>
      </c>
      <c r="C31" s="69" t="s">
        <v>0</v>
      </c>
      <c r="D31" s="70">
        <f>(D21*D22*D23)/10^3</f>
        <v>181.69976563200001</v>
      </c>
      <c r="E31" s="71" t="s">
        <v>22</v>
      </c>
      <c r="F31" s="71"/>
      <c r="G31" s="71"/>
      <c r="H31" s="72">
        <f>(D31*1000/2.54^3)/1728</f>
        <v>6.416666666666667</v>
      </c>
      <c r="I31" s="73" t="s">
        <v>2</v>
      </c>
      <c r="J31" s="73"/>
      <c r="K31" s="73"/>
      <c r="L31" s="73"/>
      <c r="M31" s="74"/>
    </row>
    <row r="32" spans="2:13" x14ac:dyDescent="0.2">
      <c r="B32" s="68" t="s">
        <v>80</v>
      </c>
      <c r="C32" s="69" t="s">
        <v>0</v>
      </c>
      <c r="D32" s="181">
        <f>D22-2*E40</f>
        <v>31.750000000000004</v>
      </c>
      <c r="E32" s="71" t="s">
        <v>32</v>
      </c>
      <c r="F32" s="71"/>
      <c r="G32" s="71"/>
      <c r="H32" s="72"/>
      <c r="I32" s="73"/>
      <c r="J32" s="73"/>
      <c r="K32" s="73"/>
      <c r="L32" s="73"/>
      <c r="M32" s="74"/>
    </row>
    <row r="33" spans="2:13" ht="12" thickBot="1" x14ac:dyDescent="0.25">
      <c r="B33" s="75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4"/>
    </row>
    <row r="34" spans="2:13" ht="12" thickBot="1" x14ac:dyDescent="0.25">
      <c r="B34" s="8" t="s">
        <v>72</v>
      </c>
      <c r="C34" s="71" t="s">
        <v>0</v>
      </c>
      <c r="D34" s="188">
        <f>Path!I9</f>
        <v>2.3677605610565471</v>
      </c>
      <c r="E34" s="73"/>
      <c r="F34" s="71"/>
      <c r="G34" s="73"/>
      <c r="H34" s="9"/>
      <c r="I34" s="73"/>
      <c r="J34" s="73"/>
      <c r="K34" s="73"/>
      <c r="L34" s="73"/>
      <c r="M34" s="74"/>
    </row>
    <row r="35" spans="2:13" x14ac:dyDescent="0.2">
      <c r="B35" s="8" t="s">
        <v>73</v>
      </c>
      <c r="C35" s="71" t="s">
        <v>0</v>
      </c>
      <c r="D35" s="221">
        <v>14.248221365470389</v>
      </c>
      <c r="E35" s="220">
        <f>D35-Path!J11</f>
        <v>-5.0726867248407359E-4</v>
      </c>
      <c r="F35" s="73"/>
      <c r="G35" s="73"/>
      <c r="H35" s="73"/>
      <c r="I35" s="73"/>
      <c r="J35" s="73"/>
      <c r="K35" s="73"/>
      <c r="L35" s="73"/>
      <c r="M35" s="74"/>
    </row>
    <row r="36" spans="2:13" x14ac:dyDescent="0.2">
      <c r="B36" s="8"/>
      <c r="C36" s="71"/>
      <c r="D36" s="73"/>
      <c r="E36" s="73"/>
      <c r="F36" s="73"/>
      <c r="G36" s="73"/>
      <c r="H36" s="73"/>
      <c r="I36" s="73"/>
      <c r="J36" s="73"/>
      <c r="K36" s="73"/>
      <c r="L36" s="73"/>
      <c r="M36" s="74"/>
    </row>
    <row r="37" spans="2:13" x14ac:dyDescent="0.2">
      <c r="B37" s="68" t="s">
        <v>8</v>
      </c>
      <c r="C37" s="69"/>
      <c r="D37" s="76" t="s">
        <v>17</v>
      </c>
      <c r="E37" s="76" t="s">
        <v>81</v>
      </c>
      <c r="F37" s="76"/>
      <c r="G37" s="76"/>
      <c r="H37" s="76" t="s">
        <v>18</v>
      </c>
      <c r="I37" s="76" t="s">
        <v>89</v>
      </c>
      <c r="J37" s="76" t="s">
        <v>9</v>
      </c>
      <c r="K37" s="76" t="s">
        <v>47</v>
      </c>
      <c r="L37" s="69" t="s">
        <v>27</v>
      </c>
      <c r="M37" s="77"/>
    </row>
    <row r="38" spans="2:13" x14ac:dyDescent="0.2">
      <c r="B38" s="68" t="str">
        <f t="shared" ref="B38:B46" si="8">J11</f>
        <v>Panel A</v>
      </c>
      <c r="C38" s="71"/>
      <c r="D38" s="78">
        <f>D22-2*D28</f>
        <v>31.750000000000004</v>
      </c>
      <c r="E38" s="78">
        <f>D28</f>
        <v>1.905</v>
      </c>
      <c r="F38" s="79"/>
      <c r="G38" s="79"/>
      <c r="H38" s="78">
        <f>Panels!K10</f>
        <v>52.07</v>
      </c>
      <c r="I38" s="80"/>
      <c r="J38" s="80">
        <v>2</v>
      </c>
      <c r="K38" s="81">
        <f>H38*D38*D28*J38/10^3</f>
        <v>6.2987777250000008</v>
      </c>
      <c r="L38" s="71" t="s">
        <v>10</v>
      </c>
      <c r="M38" s="74"/>
    </row>
    <row r="39" spans="2:13" x14ac:dyDescent="0.2">
      <c r="B39" s="68" t="str">
        <f t="shared" si="8"/>
        <v>Panel B (center)</v>
      </c>
      <c r="C39" s="71"/>
      <c r="D39" s="78">
        <f>D38</f>
        <v>31.750000000000004</v>
      </c>
      <c r="E39" s="78">
        <f>D28</f>
        <v>1.905</v>
      </c>
      <c r="F39" s="79"/>
      <c r="G39" s="79"/>
      <c r="H39" s="221">
        <v>23.422303214400269</v>
      </c>
      <c r="I39" s="194">
        <f>Path!T86</f>
        <v>-4.8774388949368586E-4</v>
      </c>
      <c r="J39" s="80">
        <v>1</v>
      </c>
      <c r="K39" s="81">
        <f t="shared" ref="K39:K49" si="9">D39*H39*$D$51*J39/10^3</f>
        <v>1.4166687320439824</v>
      </c>
      <c r="L39" s="71" t="s">
        <v>66</v>
      </c>
      <c r="M39" s="82"/>
    </row>
    <row r="40" spans="2:13" x14ac:dyDescent="0.2">
      <c r="B40" s="68" t="str">
        <f t="shared" si="8"/>
        <v>Panel C</v>
      </c>
      <c r="C40" s="71"/>
      <c r="D40" s="78">
        <f>Panels!K28</f>
        <v>91.44</v>
      </c>
      <c r="E40" s="78">
        <f>D28</f>
        <v>1.905</v>
      </c>
      <c r="F40" s="79"/>
      <c r="G40" s="79"/>
      <c r="H40" s="78">
        <f>Panels!K29</f>
        <v>55.88</v>
      </c>
      <c r="I40" s="194"/>
      <c r="J40" s="80">
        <v>2</v>
      </c>
      <c r="K40" s="81">
        <f t="shared" si="9"/>
        <v>19.467832031999997</v>
      </c>
      <c r="L40" s="71" t="s">
        <v>11</v>
      </c>
      <c r="M40" s="82"/>
    </row>
    <row r="41" spans="2:13" x14ac:dyDescent="0.2">
      <c r="B41" s="68" t="str">
        <f t="shared" si="8"/>
        <v>Panel D</v>
      </c>
      <c r="C41" s="71"/>
      <c r="D41" s="78">
        <f>D39</f>
        <v>31.750000000000004</v>
      </c>
      <c r="E41" s="78">
        <f>D28</f>
        <v>1.905</v>
      </c>
      <c r="F41" s="80"/>
      <c r="G41" s="80"/>
      <c r="H41" s="78">
        <f>D40</f>
        <v>91.44</v>
      </c>
      <c r="I41" s="194"/>
      <c r="J41" s="80">
        <v>1</v>
      </c>
      <c r="K41" s="81">
        <f t="shared" si="9"/>
        <v>5.5306341000000003</v>
      </c>
      <c r="L41" s="71" t="s">
        <v>12</v>
      </c>
      <c r="M41" s="82"/>
    </row>
    <row r="42" spans="2:13" x14ac:dyDescent="0.2">
      <c r="B42" s="68" t="str">
        <f t="shared" si="8"/>
        <v>Panel E</v>
      </c>
      <c r="C42" s="71"/>
      <c r="D42" s="78">
        <f>D39</f>
        <v>31.750000000000004</v>
      </c>
      <c r="E42" s="78">
        <f>D28</f>
        <v>1.905</v>
      </c>
      <c r="F42" s="80"/>
      <c r="G42" s="80"/>
      <c r="H42" s="221">
        <v>20.54496215319671</v>
      </c>
      <c r="I42" s="194">
        <f>Path!T134</f>
        <v>-7.6480654570332263E-5</v>
      </c>
      <c r="J42" s="80">
        <v>2</v>
      </c>
      <c r="K42" s="81">
        <f t="shared" si="9"/>
        <v>2.4852727092668232</v>
      </c>
      <c r="L42" s="71" t="s">
        <v>48</v>
      </c>
      <c r="M42" s="82"/>
    </row>
    <row r="43" spans="2:13" x14ac:dyDescent="0.2">
      <c r="B43" s="68" t="str">
        <f t="shared" si="8"/>
        <v>Panel F (baffle)</v>
      </c>
      <c r="C43" s="71"/>
      <c r="D43" s="78">
        <f>D39</f>
        <v>31.750000000000004</v>
      </c>
      <c r="E43" s="78">
        <f>D28</f>
        <v>1.905</v>
      </c>
      <c r="F43" s="80"/>
      <c r="G43" s="80"/>
      <c r="H43" s="221">
        <v>71.435952690942642</v>
      </c>
      <c r="I43" s="194">
        <f>Path!T104</f>
        <v>1.2143137746534194E-4</v>
      </c>
      <c r="J43" s="80">
        <v>1</v>
      </c>
      <c r="K43" s="81">
        <f t="shared" si="9"/>
        <v>4.3207143035708029</v>
      </c>
      <c r="L43" s="71" t="s">
        <v>29</v>
      </c>
      <c r="M43" s="82"/>
    </row>
    <row r="44" spans="2:13" x14ac:dyDescent="0.2">
      <c r="B44" s="68" t="str">
        <f t="shared" si="8"/>
        <v>Panel G</v>
      </c>
      <c r="C44" s="71"/>
      <c r="D44" s="78">
        <f>D39</f>
        <v>31.750000000000004</v>
      </c>
      <c r="E44" s="78">
        <f>D28</f>
        <v>1.905</v>
      </c>
      <c r="F44" s="80"/>
      <c r="G44" s="80"/>
      <c r="H44" s="221">
        <v>16.12208628790593</v>
      </c>
      <c r="I44" s="194">
        <f>Path!T59</f>
        <v>5.1451972166205451E-4</v>
      </c>
      <c r="J44" s="80">
        <v>2</v>
      </c>
      <c r="K44" s="81">
        <f t="shared" si="9"/>
        <v>1.9502484730322609</v>
      </c>
      <c r="L44" s="71" t="s">
        <v>13</v>
      </c>
      <c r="M44" s="82"/>
    </row>
    <row r="45" spans="2:13" x14ac:dyDescent="0.2">
      <c r="B45" s="68" t="str">
        <f t="shared" si="8"/>
        <v>Panel H</v>
      </c>
      <c r="C45" s="71"/>
      <c r="D45" s="78">
        <f>D39</f>
        <v>31.750000000000004</v>
      </c>
      <c r="E45" s="78">
        <f>D28</f>
        <v>1.905</v>
      </c>
      <c r="F45" s="80"/>
      <c r="G45" s="80"/>
      <c r="H45" s="221">
        <v>25.973666628139931</v>
      </c>
      <c r="I45" s="194">
        <f>Path!T74</f>
        <v>8.5408502633299577E-4</v>
      </c>
      <c r="J45" s="80">
        <v>2</v>
      </c>
      <c r="K45" s="81">
        <f t="shared" si="9"/>
        <v>3.1419695178395171</v>
      </c>
      <c r="L45" s="71" t="s">
        <v>14</v>
      </c>
      <c r="M45" s="82"/>
    </row>
    <row r="46" spans="2:13" x14ac:dyDescent="0.2">
      <c r="B46" s="68" t="str">
        <f t="shared" si="8"/>
        <v>Panel I</v>
      </c>
      <c r="C46" s="71"/>
      <c r="D46" s="78">
        <f>D39</f>
        <v>31.750000000000004</v>
      </c>
      <c r="E46" s="78">
        <f>D28</f>
        <v>1.905</v>
      </c>
      <c r="F46" s="80"/>
      <c r="G46" s="80"/>
      <c r="H46" s="78">
        <f>Panels!K84</f>
        <v>18.081279462765085</v>
      </c>
      <c r="I46" s="194"/>
      <c r="J46" s="80">
        <v>2</v>
      </c>
      <c r="K46" s="81">
        <f t="shared" si="9"/>
        <v>2.1872471734120356</v>
      </c>
      <c r="L46" s="71" t="s">
        <v>14</v>
      </c>
      <c r="M46" s="82"/>
    </row>
    <row r="47" spans="2:13" x14ac:dyDescent="0.2">
      <c r="B47" s="68"/>
      <c r="C47" s="71"/>
      <c r="D47" s="78"/>
      <c r="E47" s="78"/>
      <c r="F47" s="80"/>
      <c r="G47" s="80"/>
      <c r="H47" s="221">
        <v>0.37383908726990744</v>
      </c>
      <c r="I47" s="194">
        <f>Path!T107</f>
        <v>1.287802899696544E-4</v>
      </c>
      <c r="J47" s="80"/>
      <c r="K47" s="81"/>
      <c r="L47" s="71"/>
      <c r="M47" s="82"/>
    </row>
    <row r="48" spans="2:13" x14ac:dyDescent="0.2">
      <c r="B48" s="68" t="str">
        <f>J20</f>
        <v>Panel J</v>
      </c>
      <c r="C48" s="71"/>
      <c r="D48" s="78">
        <f>D39</f>
        <v>31.750000000000004</v>
      </c>
      <c r="E48" s="78">
        <f>D28</f>
        <v>1.905</v>
      </c>
      <c r="F48" s="80"/>
      <c r="G48" s="80"/>
      <c r="H48" s="221">
        <v>14.136127769522144</v>
      </c>
      <c r="I48" s="194">
        <f>Path!T149</f>
        <v>5.7761667449085508E-8</v>
      </c>
      <c r="J48" s="80">
        <v>2</v>
      </c>
      <c r="K48" s="81">
        <f t="shared" si="9"/>
        <v>1.7100120359596702</v>
      </c>
      <c r="L48" s="71" t="s">
        <v>14</v>
      </c>
      <c r="M48" s="82"/>
    </row>
    <row r="49" spans="1:13" x14ac:dyDescent="0.2">
      <c r="B49" s="68" t="str">
        <f>J21</f>
        <v>Panel K</v>
      </c>
      <c r="C49" s="71"/>
      <c r="D49" s="78">
        <f>D38</f>
        <v>31.750000000000004</v>
      </c>
      <c r="E49" s="78">
        <f>D28</f>
        <v>1.905</v>
      </c>
      <c r="F49" s="80"/>
      <c r="G49" s="80"/>
      <c r="H49" s="221">
        <v>26.65239234211214</v>
      </c>
      <c r="I49" s="195">
        <f>Path!T47</f>
        <v>-7.1140021873361547E-7</v>
      </c>
      <c r="J49" s="80">
        <v>2</v>
      </c>
      <c r="K49" s="81">
        <f t="shared" si="9"/>
        <v>3.2240732706444506</v>
      </c>
      <c r="L49" s="71" t="s">
        <v>15</v>
      </c>
      <c r="M49" s="82"/>
    </row>
    <row r="50" spans="1:13" x14ac:dyDescent="0.2">
      <c r="B50" s="75"/>
      <c r="C50" s="73"/>
      <c r="D50" s="73"/>
      <c r="E50" s="73"/>
      <c r="F50" s="73"/>
      <c r="G50" s="73"/>
      <c r="H50" s="221">
        <v>5.787329205588807</v>
      </c>
      <c r="I50" s="195">
        <f>Path!T32</f>
        <v>-4.6663148089010065E-4</v>
      </c>
      <c r="J50" s="73"/>
      <c r="K50" s="73"/>
      <c r="L50" s="73"/>
      <c r="M50" s="74"/>
    </row>
    <row r="51" spans="1:13" x14ac:dyDescent="0.2">
      <c r="B51" s="84" t="s">
        <v>16</v>
      </c>
      <c r="C51" s="85"/>
      <c r="D51" s="86">
        <f>D28</f>
        <v>1.905</v>
      </c>
      <c r="E51" s="87" t="s">
        <v>23</v>
      </c>
      <c r="F51" s="87"/>
      <c r="G51" s="87"/>
      <c r="H51" s="85"/>
      <c r="I51" s="85"/>
      <c r="J51" s="87" t="s">
        <v>59</v>
      </c>
      <c r="K51" s="88">
        <f>SUM(K38:K49)</f>
        <v>51.733450072769543</v>
      </c>
      <c r="L51" s="87" t="s">
        <v>28</v>
      </c>
      <c r="M51" s="89"/>
    </row>
    <row r="52" spans="1:13" ht="12" thickBot="1" x14ac:dyDescent="0.25">
      <c r="D52" s="13"/>
    </row>
    <row r="53" spans="1:13" ht="12" thickBot="1" x14ac:dyDescent="0.25">
      <c r="B53" s="2" t="s">
        <v>122</v>
      </c>
      <c r="C53" s="3" t="s">
        <v>0</v>
      </c>
      <c r="D53" s="196">
        <v>2500</v>
      </c>
      <c r="E53" s="10" t="s">
        <v>123</v>
      </c>
    </row>
    <row r="54" spans="1:13" ht="12" thickBot="1" x14ac:dyDescent="0.25">
      <c r="B54" s="2" t="s">
        <v>124</v>
      </c>
      <c r="C54" s="197" t="s">
        <v>0</v>
      </c>
      <c r="D54" s="196">
        <v>1500</v>
      </c>
      <c r="E54" s="10" t="s">
        <v>123</v>
      </c>
    </row>
    <row r="55" spans="1:13" ht="12" thickBot="1" x14ac:dyDescent="0.25">
      <c r="B55" s="5" t="s">
        <v>125</v>
      </c>
      <c r="C55" s="6" t="s">
        <v>0</v>
      </c>
      <c r="D55" s="7">
        <f>D53-D54</f>
        <v>1000</v>
      </c>
      <c r="E55" s="10" t="s">
        <v>26</v>
      </c>
    </row>
    <row r="60" spans="1:13" x14ac:dyDescent="0.2">
      <c r="A60" s="109"/>
    </row>
    <row r="67" spans="2:18" x14ac:dyDescent="0.2">
      <c r="B67" s="189" t="s">
        <v>91</v>
      </c>
      <c r="C67" s="190" t="s">
        <v>0</v>
      </c>
      <c r="D67" s="242" t="s">
        <v>92</v>
      </c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4"/>
    </row>
    <row r="68" spans="2:18" x14ac:dyDescent="0.2">
      <c r="B68" s="10"/>
      <c r="C68" s="10"/>
      <c r="D68" s="10"/>
      <c r="E68" s="10"/>
      <c r="F68" s="10"/>
      <c r="G68" s="10"/>
      <c r="H68" s="10"/>
      <c r="I68" s="191"/>
      <c r="J68" s="191"/>
      <c r="K68" s="10"/>
      <c r="L68" s="10"/>
      <c r="M68" s="10"/>
      <c r="N68" s="10"/>
      <c r="O68" s="10"/>
      <c r="P68" s="10"/>
      <c r="Q68" s="10"/>
      <c r="R68" s="10"/>
    </row>
    <row r="69" spans="2:18" x14ac:dyDescent="0.2">
      <c r="B69" s="189" t="s">
        <v>93</v>
      </c>
      <c r="C69" s="190" t="s">
        <v>0</v>
      </c>
      <c r="D69" s="243" t="s">
        <v>94</v>
      </c>
      <c r="E69" s="244"/>
      <c r="F69" s="244"/>
      <c r="G69" s="244"/>
      <c r="H69" s="245"/>
      <c r="I69" s="191"/>
      <c r="J69" s="192" t="str">
        <f>CONCATENATE(B69,C69,D69)</f>
        <v>ID=29.00</v>
      </c>
      <c r="K69" s="10"/>
      <c r="L69" s="10"/>
      <c r="M69" s="10"/>
      <c r="N69" s="10"/>
      <c r="O69" s="10"/>
      <c r="P69" s="10"/>
      <c r="Q69" s="10"/>
      <c r="R69" s="10"/>
    </row>
    <row r="70" spans="2:18" x14ac:dyDescent="0.2">
      <c r="B70" s="189" t="s">
        <v>95</v>
      </c>
      <c r="C70" s="190" t="s">
        <v>0</v>
      </c>
      <c r="D70" s="243" t="s">
        <v>96</v>
      </c>
      <c r="E70" s="244"/>
      <c r="F70" s="244"/>
      <c r="G70" s="244"/>
      <c r="H70" s="245"/>
      <c r="I70" s="191"/>
      <c r="J70" s="192" t="str">
        <f t="shared" ref="J70:J106" si="10">CONCATENATE(B70,C70,D70)</f>
        <v>Ang=2.0 x PI</v>
      </c>
      <c r="K70" s="10"/>
      <c r="L70" s="10"/>
      <c r="M70" s="10"/>
      <c r="N70" s="10"/>
      <c r="O70" s="10"/>
      <c r="P70" s="10"/>
      <c r="Q70" s="10"/>
      <c r="R70" s="10"/>
    </row>
    <row r="71" spans="2:18" x14ac:dyDescent="0.2">
      <c r="B71" s="189" t="s">
        <v>97</v>
      </c>
      <c r="C71" s="190" t="s">
        <v>0</v>
      </c>
      <c r="D71" s="246">
        <v>2.83</v>
      </c>
      <c r="E71" s="247"/>
      <c r="F71" s="247"/>
      <c r="G71" s="247"/>
      <c r="H71" s="248"/>
      <c r="I71" s="191"/>
      <c r="J71" s="192" t="str">
        <f t="shared" si="10"/>
        <v>Eg=2.83</v>
      </c>
      <c r="K71" s="10"/>
      <c r="L71" s="10"/>
      <c r="M71" s="10"/>
      <c r="N71" s="10"/>
      <c r="O71" s="10"/>
      <c r="P71" s="10"/>
      <c r="Q71" s="10"/>
      <c r="R71" s="10"/>
    </row>
    <row r="72" spans="2:18" x14ac:dyDescent="0.2">
      <c r="B72" s="189" t="s">
        <v>98</v>
      </c>
      <c r="C72" s="190" t="s">
        <v>0</v>
      </c>
      <c r="D72" s="246">
        <v>0</v>
      </c>
      <c r="E72" s="247"/>
      <c r="F72" s="247"/>
      <c r="G72" s="247"/>
      <c r="H72" s="248"/>
      <c r="I72" s="10"/>
      <c r="J72" s="192" t="str">
        <f t="shared" si="10"/>
        <v>Rg=0</v>
      </c>
      <c r="K72" s="10"/>
      <c r="L72" s="10"/>
      <c r="M72" s="10"/>
      <c r="N72" s="10"/>
      <c r="O72" s="10"/>
      <c r="P72" s="10"/>
      <c r="Q72" s="10"/>
      <c r="R72" s="10"/>
    </row>
    <row r="73" spans="2:18" x14ac:dyDescent="0.2">
      <c r="B73" s="189" t="s">
        <v>99</v>
      </c>
      <c r="C73" s="190" t="s">
        <v>0</v>
      </c>
      <c r="D73" s="225">
        <v>0</v>
      </c>
      <c r="E73" s="226"/>
      <c r="F73" s="226"/>
      <c r="G73" s="226"/>
      <c r="H73" s="227"/>
      <c r="I73" s="10"/>
      <c r="J73" s="192" t="str">
        <f t="shared" si="10"/>
        <v>Fta=0</v>
      </c>
      <c r="K73" s="10"/>
      <c r="L73" s="10"/>
      <c r="M73" s="10"/>
      <c r="N73" s="10"/>
      <c r="O73" s="10"/>
      <c r="P73" s="10"/>
      <c r="Q73" s="10"/>
      <c r="R73" s="10"/>
    </row>
    <row r="74" spans="2:18" x14ac:dyDescent="0.2">
      <c r="B74" s="189" t="s">
        <v>20</v>
      </c>
      <c r="C74" s="190" t="s">
        <v>0</v>
      </c>
      <c r="D74" s="229">
        <f>ROUND(D11,0)</f>
        <v>350</v>
      </c>
      <c r="E74" s="230"/>
      <c r="F74" s="230"/>
      <c r="G74" s="230"/>
      <c r="H74" s="231"/>
      <c r="I74" s="10"/>
      <c r="J74" s="192" t="str">
        <f t="shared" si="10"/>
        <v>S1=350</v>
      </c>
      <c r="K74" s="10"/>
      <c r="L74" s="10"/>
      <c r="M74" s="10"/>
      <c r="N74" s="10"/>
      <c r="O74" s="10"/>
      <c r="P74" s="10"/>
      <c r="Q74" s="10"/>
      <c r="R74" s="10"/>
    </row>
    <row r="75" spans="2:18" x14ac:dyDescent="0.2">
      <c r="B75" s="189" t="s">
        <v>55</v>
      </c>
      <c r="C75" s="190" t="s">
        <v>0</v>
      </c>
      <c r="D75" s="229">
        <f>ROUND(D12,0)</f>
        <v>350</v>
      </c>
      <c r="E75" s="230"/>
      <c r="F75" s="230"/>
      <c r="G75" s="230"/>
      <c r="H75" s="231"/>
      <c r="I75" s="10"/>
      <c r="J75" s="192" t="str">
        <f t="shared" si="10"/>
        <v>S2=350</v>
      </c>
      <c r="K75" s="10"/>
      <c r="L75" s="10"/>
      <c r="M75" s="10"/>
      <c r="N75" s="10"/>
      <c r="O75" s="10"/>
      <c r="P75" s="10"/>
      <c r="Q75" s="10"/>
      <c r="R75" s="10"/>
    </row>
    <row r="76" spans="2:18" x14ac:dyDescent="0.2">
      <c r="B76" s="189" t="s">
        <v>100</v>
      </c>
      <c r="C76" s="190" t="s">
        <v>0</v>
      </c>
      <c r="D76" s="228">
        <f>ROUND(D16,1)</f>
        <v>0.1</v>
      </c>
      <c r="E76" s="226"/>
      <c r="F76" s="226"/>
      <c r="G76" s="226"/>
      <c r="H76" s="227"/>
      <c r="I76" s="10"/>
      <c r="J76" s="192" t="str">
        <f t="shared" si="10"/>
        <v>Par=0.1</v>
      </c>
      <c r="K76" s="10"/>
      <c r="L76" s="10"/>
      <c r="M76" s="10"/>
      <c r="N76" s="10"/>
      <c r="O76" s="10"/>
      <c r="P76" s="10"/>
      <c r="Q76" s="10"/>
      <c r="R76" s="10"/>
    </row>
    <row r="77" spans="2:18" x14ac:dyDescent="0.2">
      <c r="B77" s="189" t="s">
        <v>101</v>
      </c>
      <c r="C77" s="190" t="s">
        <v>0</v>
      </c>
      <c r="D77" s="225">
        <v>0</v>
      </c>
      <c r="E77" s="226"/>
      <c r="F77" s="226"/>
      <c r="G77" s="226"/>
      <c r="H77" s="227"/>
      <c r="I77" s="10"/>
      <c r="J77" s="192" t="str">
        <f t="shared" si="10"/>
        <v>F12=0</v>
      </c>
      <c r="K77" s="10"/>
      <c r="L77" s="10"/>
      <c r="M77" s="10"/>
      <c r="N77" s="10"/>
      <c r="O77" s="10"/>
      <c r="P77" s="10"/>
      <c r="Q77" s="10"/>
      <c r="R77" s="10"/>
    </row>
    <row r="78" spans="2:18" x14ac:dyDescent="0.2">
      <c r="B78" s="189" t="s">
        <v>55</v>
      </c>
      <c r="C78" s="190" t="s">
        <v>0</v>
      </c>
      <c r="D78" s="229">
        <f>D75</f>
        <v>350</v>
      </c>
      <c r="E78" s="230"/>
      <c r="F78" s="230"/>
      <c r="G78" s="230"/>
      <c r="H78" s="231"/>
      <c r="I78" s="10"/>
      <c r="J78" s="192" t="str">
        <f t="shared" si="10"/>
        <v>S2=350</v>
      </c>
      <c r="K78" s="10"/>
      <c r="L78" s="10"/>
      <c r="M78" s="10"/>
      <c r="N78" s="10"/>
      <c r="O78" s="10"/>
      <c r="P78" s="10"/>
      <c r="Q78" s="10"/>
      <c r="R78" s="10"/>
    </row>
    <row r="79" spans="2:18" x14ac:dyDescent="0.2">
      <c r="B79" s="189" t="s">
        <v>77</v>
      </c>
      <c r="C79" s="190" t="s">
        <v>0</v>
      </c>
      <c r="D79" s="229">
        <f>ROUND(D13,0)</f>
        <v>550</v>
      </c>
      <c r="E79" s="230"/>
      <c r="F79" s="230"/>
      <c r="G79" s="230"/>
      <c r="H79" s="231"/>
      <c r="I79" s="10"/>
      <c r="J79" s="192" t="str">
        <f t="shared" si="10"/>
        <v>S3=550</v>
      </c>
      <c r="K79" s="10"/>
      <c r="L79" s="10"/>
      <c r="M79" s="10"/>
      <c r="N79" s="10"/>
      <c r="O79" s="10"/>
      <c r="P79" s="10"/>
      <c r="Q79" s="10"/>
      <c r="R79" s="10"/>
    </row>
    <row r="80" spans="2:18" x14ac:dyDescent="0.2">
      <c r="B80" s="189" t="s">
        <v>100</v>
      </c>
      <c r="C80" s="190" t="s">
        <v>0</v>
      </c>
      <c r="D80" s="228">
        <f>ROUND(D17,1)</f>
        <v>152.19999999999999</v>
      </c>
      <c r="E80" s="226"/>
      <c r="F80" s="226"/>
      <c r="G80" s="226"/>
      <c r="H80" s="227"/>
      <c r="I80" s="10"/>
      <c r="J80" s="192" t="str">
        <f t="shared" si="10"/>
        <v>Par=152.2</v>
      </c>
      <c r="K80" s="10"/>
      <c r="L80" s="10"/>
      <c r="M80" s="10"/>
      <c r="N80" s="10"/>
      <c r="O80" s="10"/>
      <c r="P80" s="10"/>
      <c r="Q80" s="10"/>
      <c r="R80" s="10"/>
    </row>
    <row r="81" spans="2:18" x14ac:dyDescent="0.2">
      <c r="B81" s="189" t="s">
        <v>102</v>
      </c>
      <c r="C81" s="190" t="s">
        <v>0</v>
      </c>
      <c r="D81" s="225">
        <v>0</v>
      </c>
      <c r="E81" s="226"/>
      <c r="F81" s="226"/>
      <c r="G81" s="226"/>
      <c r="H81" s="227"/>
      <c r="I81" s="10"/>
      <c r="J81" s="192" t="str">
        <f t="shared" si="10"/>
        <v>F23=0</v>
      </c>
      <c r="K81" s="10"/>
      <c r="L81" s="10"/>
      <c r="M81" s="10"/>
      <c r="N81" s="10"/>
      <c r="O81" s="10"/>
      <c r="P81" s="10"/>
      <c r="Q81" s="10"/>
      <c r="R81" s="10"/>
    </row>
    <row r="82" spans="2:18" x14ac:dyDescent="0.2">
      <c r="B82" s="189" t="s">
        <v>77</v>
      </c>
      <c r="C82" s="190" t="s">
        <v>0</v>
      </c>
      <c r="D82" s="229">
        <f>D79</f>
        <v>550</v>
      </c>
      <c r="E82" s="230"/>
      <c r="F82" s="230"/>
      <c r="G82" s="230"/>
      <c r="H82" s="231"/>
      <c r="I82" s="10"/>
      <c r="J82" s="192" t="str">
        <f t="shared" si="10"/>
        <v>S3=550</v>
      </c>
      <c r="K82" s="10"/>
      <c r="L82" s="10"/>
      <c r="M82" s="10"/>
      <c r="N82" s="10"/>
      <c r="O82" s="10"/>
      <c r="P82" s="10"/>
      <c r="Q82" s="10"/>
      <c r="R82" s="10"/>
    </row>
    <row r="83" spans="2:18" x14ac:dyDescent="0.2">
      <c r="B83" s="189" t="s">
        <v>21</v>
      </c>
      <c r="C83" s="190" t="s">
        <v>0</v>
      </c>
      <c r="D83" s="229">
        <f>ROUND(D14,0)</f>
        <v>1115</v>
      </c>
      <c r="E83" s="230"/>
      <c r="F83" s="230"/>
      <c r="G83" s="230"/>
      <c r="H83" s="231"/>
      <c r="I83" s="10"/>
      <c r="J83" s="192" t="str">
        <f t="shared" si="10"/>
        <v>S4=1115</v>
      </c>
      <c r="K83" s="10"/>
      <c r="L83" s="10"/>
      <c r="M83" s="10"/>
      <c r="N83" s="10"/>
      <c r="O83" s="10"/>
      <c r="P83" s="10"/>
      <c r="Q83" s="10"/>
      <c r="R83" s="10"/>
    </row>
    <row r="84" spans="2:18" x14ac:dyDescent="0.2">
      <c r="B84" s="189" t="s">
        <v>100</v>
      </c>
      <c r="C84" s="190" t="s">
        <v>0</v>
      </c>
      <c r="D84" s="228">
        <f>ROUND(D18,1)</f>
        <v>32.799999999999997</v>
      </c>
      <c r="E84" s="226"/>
      <c r="F84" s="226"/>
      <c r="G84" s="226"/>
      <c r="H84" s="227"/>
      <c r="I84" s="10"/>
      <c r="J84" s="192" t="str">
        <f t="shared" si="10"/>
        <v>Par=32.8</v>
      </c>
      <c r="K84" s="10"/>
      <c r="L84" s="10"/>
      <c r="M84" s="10"/>
      <c r="N84" s="10"/>
      <c r="O84" s="10"/>
      <c r="P84" s="10"/>
      <c r="Q84" s="10"/>
      <c r="R84" s="10"/>
    </row>
    <row r="85" spans="2:18" x14ac:dyDescent="0.2">
      <c r="B85" s="189" t="s">
        <v>103</v>
      </c>
      <c r="C85" s="190" t="s">
        <v>0</v>
      </c>
      <c r="D85" s="225">
        <v>0</v>
      </c>
      <c r="E85" s="226"/>
      <c r="F85" s="226"/>
      <c r="G85" s="226"/>
      <c r="H85" s="227"/>
      <c r="I85" s="10"/>
      <c r="J85" s="192" t="str">
        <f t="shared" si="10"/>
        <v>F34=0</v>
      </c>
      <c r="K85" s="10"/>
      <c r="L85" s="10"/>
      <c r="M85" s="10"/>
      <c r="N85" s="10"/>
      <c r="O85" s="10"/>
      <c r="P85" s="10"/>
      <c r="Q85" s="10"/>
      <c r="R85" s="10"/>
    </row>
    <row r="86" spans="2:18" x14ac:dyDescent="0.2">
      <c r="B86" s="189" t="s">
        <v>21</v>
      </c>
      <c r="C86" s="190" t="s">
        <v>0</v>
      </c>
      <c r="D86" s="229">
        <f>D83</f>
        <v>1115</v>
      </c>
      <c r="E86" s="230"/>
      <c r="F86" s="230"/>
      <c r="G86" s="230"/>
      <c r="H86" s="231"/>
      <c r="I86" s="10"/>
      <c r="J86" s="192" t="str">
        <f t="shared" si="10"/>
        <v>S4=1115</v>
      </c>
      <c r="K86" s="10"/>
      <c r="L86" s="10"/>
      <c r="M86" s="10"/>
      <c r="N86" s="10"/>
      <c r="O86" s="10"/>
      <c r="P86" s="10"/>
      <c r="Q86" s="10"/>
      <c r="R86" s="10"/>
    </row>
    <row r="87" spans="2:18" x14ac:dyDescent="0.2">
      <c r="B87" s="189" t="s">
        <v>79</v>
      </c>
      <c r="C87" s="190" t="s">
        <v>0</v>
      </c>
      <c r="D87" s="229">
        <f>ROUND(D15,0)</f>
        <v>1466</v>
      </c>
      <c r="E87" s="226"/>
      <c r="F87" s="226"/>
      <c r="G87" s="226"/>
      <c r="H87" s="227"/>
      <c r="I87" s="10"/>
      <c r="J87" s="192" t="str">
        <f t="shared" si="10"/>
        <v>S5=1466</v>
      </c>
      <c r="K87" s="10"/>
      <c r="L87" s="10"/>
      <c r="M87" s="10"/>
      <c r="N87" s="10"/>
      <c r="O87" s="10"/>
      <c r="P87" s="10"/>
      <c r="Q87" s="10"/>
      <c r="R87" s="10"/>
    </row>
    <row r="88" spans="2:18" x14ac:dyDescent="0.2">
      <c r="B88" s="189" t="s">
        <v>100</v>
      </c>
      <c r="C88" s="190" t="s">
        <v>0</v>
      </c>
      <c r="D88" s="228">
        <f>ROUND(D19,1)</f>
        <v>20.399999999999999</v>
      </c>
      <c r="E88" s="226"/>
      <c r="F88" s="226"/>
      <c r="G88" s="226"/>
      <c r="H88" s="227"/>
      <c r="I88" s="10"/>
      <c r="J88" s="192" t="str">
        <f t="shared" si="10"/>
        <v>Par=20.4</v>
      </c>
      <c r="K88" s="10"/>
      <c r="L88" s="10"/>
      <c r="M88" s="10"/>
      <c r="N88" s="10"/>
      <c r="O88" s="10"/>
      <c r="P88" s="10"/>
      <c r="Q88" s="10"/>
      <c r="R88" s="10"/>
    </row>
    <row r="89" spans="2:18" x14ac:dyDescent="0.2">
      <c r="B89" s="189" t="s">
        <v>104</v>
      </c>
      <c r="C89" s="190" t="s">
        <v>0</v>
      </c>
      <c r="D89" s="225">
        <v>0</v>
      </c>
      <c r="E89" s="226"/>
      <c r="F89" s="226"/>
      <c r="G89" s="226"/>
      <c r="H89" s="227"/>
      <c r="I89" s="10"/>
      <c r="J89" s="192" t="str">
        <f t="shared" si="10"/>
        <v>F45=0</v>
      </c>
      <c r="K89" s="10"/>
      <c r="L89" s="10"/>
      <c r="M89" s="10"/>
      <c r="N89" s="10"/>
      <c r="O89" s="10"/>
      <c r="P89" s="10"/>
      <c r="Q89" s="10"/>
      <c r="R89" s="10"/>
    </row>
    <row r="90" spans="2:18" x14ac:dyDescent="0.2">
      <c r="B90" s="189" t="s">
        <v>105</v>
      </c>
      <c r="C90" s="190" t="s">
        <v>0</v>
      </c>
      <c r="D90" s="222">
        <v>530</v>
      </c>
      <c r="E90" s="223"/>
      <c r="F90" s="223"/>
      <c r="G90" s="223"/>
      <c r="H90" s="224"/>
      <c r="I90" s="10"/>
      <c r="J90" s="192" t="str">
        <f t="shared" si="10"/>
        <v>Sd=530</v>
      </c>
      <c r="K90" s="10"/>
      <c r="L90" s="10"/>
      <c r="M90" s="10"/>
      <c r="N90" s="10"/>
      <c r="O90" s="10"/>
      <c r="P90" s="10"/>
      <c r="Q90" s="10"/>
      <c r="R90" s="10"/>
    </row>
    <row r="91" spans="2:18" x14ac:dyDescent="0.2">
      <c r="B91" s="189" t="s">
        <v>106</v>
      </c>
      <c r="C91" s="190" t="s">
        <v>0</v>
      </c>
      <c r="D91" s="222">
        <v>16.649999999999999</v>
      </c>
      <c r="E91" s="223"/>
      <c r="F91" s="223"/>
      <c r="G91" s="223"/>
      <c r="H91" s="224"/>
      <c r="I91" s="10"/>
      <c r="J91" s="192" t="str">
        <f t="shared" si="10"/>
        <v>Bl=16.65</v>
      </c>
      <c r="K91" s="10"/>
      <c r="L91" s="10"/>
      <c r="M91" s="10"/>
      <c r="N91" s="10"/>
      <c r="O91" s="10"/>
      <c r="P91" s="10"/>
      <c r="Q91" s="10"/>
      <c r="R91" s="10"/>
    </row>
    <row r="92" spans="2:18" x14ac:dyDescent="0.2">
      <c r="B92" s="189" t="s">
        <v>107</v>
      </c>
      <c r="C92" s="190" t="s">
        <v>0</v>
      </c>
      <c r="D92" s="232">
        <v>2.4699999999999999E-4</v>
      </c>
      <c r="E92" s="233"/>
      <c r="F92" s="233"/>
      <c r="G92" s="233"/>
      <c r="H92" s="234"/>
      <c r="I92" s="10"/>
      <c r="J92" s="192" t="str">
        <f t="shared" si="10"/>
        <v>Cms=0.000247</v>
      </c>
      <c r="K92" s="10"/>
      <c r="L92" s="10"/>
      <c r="M92" s="10"/>
      <c r="N92" s="10"/>
      <c r="O92" s="10"/>
      <c r="P92" s="10"/>
      <c r="Q92" s="10"/>
      <c r="R92" s="10"/>
    </row>
    <row r="93" spans="2:18" x14ac:dyDescent="0.2">
      <c r="B93" s="189" t="s">
        <v>108</v>
      </c>
      <c r="C93" s="190" t="s">
        <v>0</v>
      </c>
      <c r="D93" s="222">
        <v>2.2000000000000002</v>
      </c>
      <c r="E93" s="223"/>
      <c r="F93" s="223"/>
      <c r="G93" s="223"/>
      <c r="H93" s="224"/>
      <c r="I93" s="10"/>
      <c r="J93" s="192" t="str">
        <f t="shared" si="10"/>
        <v>Rms=2.2</v>
      </c>
      <c r="K93" s="10"/>
      <c r="L93" s="10"/>
      <c r="M93" s="10"/>
      <c r="N93" s="10"/>
      <c r="O93" s="10"/>
      <c r="P93" s="10"/>
      <c r="Q93" s="10"/>
      <c r="R93" s="10"/>
    </row>
    <row r="94" spans="2:18" x14ac:dyDescent="0.2">
      <c r="B94" s="189" t="s">
        <v>109</v>
      </c>
      <c r="C94" s="190" t="s">
        <v>0</v>
      </c>
      <c r="D94" s="222">
        <v>60.38</v>
      </c>
      <c r="E94" s="223"/>
      <c r="F94" s="223"/>
      <c r="G94" s="223"/>
      <c r="H94" s="224"/>
      <c r="I94" s="10"/>
      <c r="J94" s="192" t="str">
        <f t="shared" si="10"/>
        <v>Mmd=60.38</v>
      </c>
      <c r="K94" s="10"/>
      <c r="L94" s="10"/>
      <c r="M94" s="10"/>
      <c r="N94" s="10"/>
      <c r="O94" s="10"/>
      <c r="P94" s="10"/>
      <c r="Q94" s="10"/>
      <c r="R94" s="10"/>
    </row>
    <row r="95" spans="2:18" x14ac:dyDescent="0.2">
      <c r="B95" s="189" t="s">
        <v>110</v>
      </c>
      <c r="C95" s="190" t="s">
        <v>0</v>
      </c>
      <c r="D95" s="222">
        <v>1.4</v>
      </c>
      <c r="E95" s="223"/>
      <c r="F95" s="223"/>
      <c r="G95" s="223"/>
      <c r="H95" s="224"/>
      <c r="I95" s="10"/>
      <c r="J95" s="192" t="str">
        <f t="shared" si="10"/>
        <v>Le=1.4</v>
      </c>
      <c r="K95" s="10"/>
      <c r="L95" s="10"/>
      <c r="M95" s="10"/>
      <c r="N95" s="10"/>
      <c r="O95" s="10"/>
      <c r="P95" s="10"/>
      <c r="Q95" s="10"/>
      <c r="R95" s="10"/>
    </row>
    <row r="96" spans="2:18" x14ac:dyDescent="0.2">
      <c r="B96" s="189" t="s">
        <v>111</v>
      </c>
      <c r="C96" s="190" t="s">
        <v>0</v>
      </c>
      <c r="D96" s="222">
        <v>5.2</v>
      </c>
      <c r="E96" s="223"/>
      <c r="F96" s="223"/>
      <c r="G96" s="223"/>
      <c r="H96" s="224"/>
      <c r="I96" s="10"/>
      <c r="J96" s="192" t="str">
        <f t="shared" si="10"/>
        <v>Re=5.2</v>
      </c>
      <c r="K96" s="10"/>
      <c r="L96" s="10"/>
      <c r="M96" s="10"/>
      <c r="N96" s="10"/>
      <c r="O96" s="10"/>
      <c r="P96" s="10"/>
      <c r="Q96" s="10"/>
      <c r="R96" s="10"/>
    </row>
    <row r="97" spans="2:18" x14ac:dyDescent="0.2">
      <c r="B97" s="189" t="s">
        <v>112</v>
      </c>
      <c r="C97" s="190" t="s">
        <v>0</v>
      </c>
      <c r="D97" s="225">
        <v>1</v>
      </c>
      <c r="E97" s="226"/>
      <c r="F97" s="226"/>
      <c r="G97" s="226"/>
      <c r="H97" s="227"/>
      <c r="I97" s="10"/>
      <c r="J97" s="192" t="str">
        <f t="shared" si="10"/>
        <v>TH=1</v>
      </c>
      <c r="K97" s="10"/>
      <c r="L97" s="10"/>
      <c r="M97" s="10"/>
      <c r="N97" s="10"/>
      <c r="O97" s="10"/>
      <c r="P97" s="10"/>
      <c r="Q97" s="10"/>
      <c r="R97" s="10"/>
    </row>
    <row r="98" spans="2:18" x14ac:dyDescent="0.2">
      <c r="B98" s="189" t="s">
        <v>113</v>
      </c>
      <c r="C98" s="190" t="s">
        <v>0</v>
      </c>
      <c r="D98" s="225">
        <v>0</v>
      </c>
      <c r="E98" s="226"/>
      <c r="F98" s="226"/>
      <c r="G98" s="226"/>
      <c r="H98" s="227"/>
      <c r="I98" s="10"/>
      <c r="J98" s="192" t="str">
        <f t="shared" si="10"/>
        <v>Vrc=0</v>
      </c>
      <c r="K98" s="10"/>
      <c r="L98" s="10"/>
      <c r="M98" s="10"/>
      <c r="N98" s="10"/>
      <c r="O98" s="10"/>
      <c r="P98" s="10"/>
      <c r="Q98" s="10"/>
      <c r="R98" s="10"/>
    </row>
    <row r="99" spans="2:18" x14ac:dyDescent="0.2">
      <c r="B99" s="189" t="s">
        <v>114</v>
      </c>
      <c r="C99" s="190" t="s">
        <v>0</v>
      </c>
      <c r="D99" s="225">
        <v>0</v>
      </c>
      <c r="E99" s="226"/>
      <c r="F99" s="226"/>
      <c r="G99" s="226"/>
      <c r="H99" s="227"/>
      <c r="I99" s="10"/>
      <c r="J99" s="192" t="str">
        <f t="shared" si="10"/>
        <v>Lrc=0</v>
      </c>
      <c r="K99" s="10"/>
      <c r="L99" s="10"/>
      <c r="M99" s="10"/>
      <c r="N99" s="10"/>
      <c r="O99" s="10"/>
      <c r="P99" s="10"/>
      <c r="Q99" s="10"/>
      <c r="R99" s="10"/>
    </row>
    <row r="100" spans="2:18" x14ac:dyDescent="0.2">
      <c r="B100" s="189" t="s">
        <v>115</v>
      </c>
      <c r="C100" s="190" t="s">
        <v>0</v>
      </c>
      <c r="D100" s="228">
        <v>0</v>
      </c>
      <c r="E100" s="226"/>
      <c r="F100" s="226"/>
      <c r="G100" s="226"/>
      <c r="H100" s="227"/>
      <c r="I100" s="10"/>
      <c r="J100" s="192" t="str">
        <f t="shared" si="10"/>
        <v>Ap1=0</v>
      </c>
      <c r="K100" s="10"/>
      <c r="L100" s="10"/>
      <c r="M100" s="10"/>
      <c r="N100" s="10"/>
      <c r="O100" s="10"/>
      <c r="P100" s="10"/>
      <c r="Q100" s="10"/>
      <c r="R100" s="10"/>
    </row>
    <row r="101" spans="2:18" x14ac:dyDescent="0.2">
      <c r="B101" s="189" t="s">
        <v>116</v>
      </c>
      <c r="C101" s="190" t="s">
        <v>0</v>
      </c>
      <c r="D101" s="228">
        <v>0</v>
      </c>
      <c r="E101" s="226"/>
      <c r="F101" s="226"/>
      <c r="G101" s="226"/>
      <c r="H101" s="227"/>
      <c r="I101" s="10"/>
      <c r="J101" s="192" t="str">
        <f t="shared" si="10"/>
        <v>Lp=0</v>
      </c>
      <c r="K101" s="10"/>
      <c r="L101" s="10"/>
      <c r="M101" s="10"/>
      <c r="N101" s="10"/>
      <c r="O101" s="10"/>
      <c r="P101" s="10"/>
      <c r="Q101" s="10"/>
      <c r="R101" s="10"/>
    </row>
    <row r="102" spans="2:18" x14ac:dyDescent="0.2">
      <c r="B102" s="189" t="s">
        <v>117</v>
      </c>
      <c r="C102" s="190" t="s">
        <v>0</v>
      </c>
      <c r="D102" s="228">
        <f>D55</f>
        <v>1000</v>
      </c>
      <c r="E102" s="226"/>
      <c r="F102" s="226"/>
      <c r="G102" s="226"/>
      <c r="H102" s="227"/>
      <c r="I102" s="10"/>
      <c r="J102" s="192" t="str">
        <f t="shared" si="10"/>
        <v>Vtc=1000</v>
      </c>
      <c r="K102" s="10"/>
      <c r="L102" s="10"/>
      <c r="M102" s="10"/>
      <c r="N102" s="10"/>
      <c r="O102" s="10"/>
      <c r="P102" s="10"/>
      <c r="Q102" s="10"/>
      <c r="R102" s="10"/>
    </row>
    <row r="103" spans="2:18" x14ac:dyDescent="0.2">
      <c r="B103" s="189" t="s">
        <v>118</v>
      </c>
      <c r="C103" s="190" t="s">
        <v>0</v>
      </c>
      <c r="D103" s="225">
        <f>D90</f>
        <v>530</v>
      </c>
      <c r="E103" s="226"/>
      <c r="F103" s="226"/>
      <c r="G103" s="226"/>
      <c r="H103" s="227"/>
      <c r="I103" s="10"/>
      <c r="J103" s="192" t="str">
        <f t="shared" si="10"/>
        <v>Atc=530</v>
      </c>
      <c r="K103" s="10"/>
      <c r="L103" s="10"/>
      <c r="M103" s="10"/>
      <c r="N103" s="10"/>
      <c r="O103" s="10"/>
      <c r="P103" s="10"/>
      <c r="Q103" s="10"/>
      <c r="R103" s="10"/>
    </row>
    <row r="104" spans="2:18" x14ac:dyDescent="0.2">
      <c r="B104" s="189" t="s">
        <v>119</v>
      </c>
      <c r="C104" s="190" t="s">
        <v>0</v>
      </c>
      <c r="D104" s="222">
        <v>350</v>
      </c>
      <c r="E104" s="223"/>
      <c r="F104" s="223"/>
      <c r="G104" s="223"/>
      <c r="H104" s="224"/>
      <c r="I104" s="10"/>
      <c r="J104" s="192" t="str">
        <f t="shared" si="10"/>
        <v>Pmax=350</v>
      </c>
      <c r="K104" s="10"/>
      <c r="L104" s="10"/>
      <c r="M104" s="10"/>
      <c r="N104" s="10"/>
      <c r="O104" s="10"/>
      <c r="P104" s="10"/>
      <c r="Q104" s="10"/>
      <c r="R104" s="10"/>
    </row>
    <row r="105" spans="2:18" x14ac:dyDescent="0.2">
      <c r="B105" s="189" t="s">
        <v>120</v>
      </c>
      <c r="C105" s="190" t="s">
        <v>0</v>
      </c>
      <c r="D105" s="222">
        <v>5</v>
      </c>
      <c r="E105" s="223"/>
      <c r="F105" s="223"/>
      <c r="G105" s="223"/>
      <c r="H105" s="224"/>
      <c r="I105" s="10"/>
      <c r="J105" s="192" t="str">
        <f t="shared" si="10"/>
        <v>Xmax=5</v>
      </c>
      <c r="K105" s="10"/>
      <c r="L105" s="10"/>
      <c r="M105" s="10"/>
      <c r="N105" s="10"/>
      <c r="O105" s="10"/>
      <c r="P105" s="10"/>
      <c r="Q105" s="10"/>
      <c r="R105" s="10"/>
    </row>
    <row r="106" spans="2:18" x14ac:dyDescent="0.2">
      <c r="B106" s="189" t="s">
        <v>121</v>
      </c>
      <c r="C106" s="190" t="s">
        <v>0</v>
      </c>
      <c r="D106" s="222" t="s">
        <v>131</v>
      </c>
      <c r="E106" s="223"/>
      <c r="F106" s="223"/>
      <c r="G106" s="223"/>
      <c r="H106" s="224"/>
      <c r="I106" s="10"/>
      <c r="J106" s="192" t="str">
        <f t="shared" si="10"/>
        <v>Comment=BOXPLAN-CYCLOPS</v>
      </c>
      <c r="K106" s="10"/>
      <c r="L106" s="10"/>
      <c r="M106" s="10"/>
      <c r="N106" s="10"/>
      <c r="O106" s="10"/>
      <c r="P106" s="10"/>
      <c r="Q106" s="10"/>
      <c r="R106" s="10"/>
    </row>
    <row r="124" spans="4:8" x14ac:dyDescent="0.2">
      <c r="D124" s="110"/>
      <c r="H124" s="13"/>
    </row>
    <row r="125" spans="4:8" x14ac:dyDescent="0.2">
      <c r="H125" s="13"/>
    </row>
    <row r="130" spans="11:12" x14ac:dyDescent="0.2">
      <c r="K130" s="15"/>
      <c r="L130" s="15"/>
    </row>
    <row r="131" spans="11:12" x14ac:dyDescent="0.2">
      <c r="K131" s="15"/>
      <c r="L131" s="15"/>
    </row>
    <row r="132" spans="11:12" x14ac:dyDescent="0.2">
      <c r="K132" s="15"/>
      <c r="L132" s="15"/>
    </row>
    <row r="133" spans="11:12" x14ac:dyDescent="0.2">
      <c r="K133" s="15"/>
      <c r="L133" s="15"/>
    </row>
    <row r="134" spans="11:12" x14ac:dyDescent="0.2">
      <c r="K134" s="15"/>
      <c r="L134" s="15"/>
    </row>
    <row r="135" spans="11:12" x14ac:dyDescent="0.2">
      <c r="K135" s="15"/>
      <c r="L135" s="15"/>
    </row>
    <row r="136" spans="11:12" x14ac:dyDescent="0.2">
      <c r="K136" s="15"/>
      <c r="L136" s="15"/>
    </row>
    <row r="137" spans="11:12" x14ac:dyDescent="0.2">
      <c r="K137" s="15"/>
      <c r="L137" s="15"/>
    </row>
    <row r="138" spans="11:12" x14ac:dyDescent="0.2">
      <c r="K138" s="15"/>
      <c r="L138" s="15"/>
    </row>
    <row r="139" spans="11:12" x14ac:dyDescent="0.2">
      <c r="K139" s="15"/>
      <c r="L139" s="15"/>
    </row>
    <row r="308" spans="34:47" x14ac:dyDescent="0.2">
      <c r="AH308" s="110"/>
      <c r="AI308" s="110"/>
      <c r="AJ308" s="15"/>
      <c r="AK308" s="15"/>
      <c r="AL308" s="15"/>
    </row>
    <row r="309" spans="34:47" x14ac:dyDescent="0.2">
      <c r="AH309" s="110"/>
      <c r="AI309" s="110"/>
      <c r="AJ309" s="15"/>
      <c r="AK309" s="15"/>
      <c r="AL309" s="15"/>
      <c r="AU309" s="129"/>
    </row>
    <row r="311" spans="34:47" x14ac:dyDescent="0.2">
      <c r="AH311" s="110"/>
      <c r="AI311" s="110"/>
      <c r="AJ311" s="14"/>
      <c r="AK311" s="14"/>
      <c r="AL311" s="14"/>
    </row>
    <row r="312" spans="34:47" x14ac:dyDescent="0.2">
      <c r="AH312" s="110"/>
      <c r="AI312" s="110"/>
      <c r="AJ312" s="15"/>
      <c r="AK312" s="15"/>
      <c r="AL312" s="15"/>
    </row>
    <row r="313" spans="34:47" x14ac:dyDescent="0.2">
      <c r="AH313" s="110"/>
      <c r="AI313" s="110"/>
      <c r="AJ313" s="15"/>
      <c r="AK313" s="15"/>
      <c r="AL313" s="15"/>
    </row>
    <row r="314" spans="34:47" x14ac:dyDescent="0.2">
      <c r="AH314" s="110"/>
      <c r="AI314" s="110"/>
      <c r="AJ314" s="15"/>
      <c r="AK314" s="15"/>
      <c r="AL314" s="15"/>
    </row>
    <row r="315" spans="34:47" x14ac:dyDescent="0.2">
      <c r="AH315" s="110"/>
      <c r="AI315" s="110"/>
      <c r="AJ315" s="15"/>
      <c r="AK315" s="15"/>
      <c r="AL315" s="15"/>
    </row>
    <row r="317" spans="34:47" x14ac:dyDescent="0.2">
      <c r="AH317" s="110"/>
      <c r="AI317" s="110"/>
      <c r="AJ317" s="14"/>
      <c r="AK317" s="14"/>
      <c r="AL317" s="14"/>
    </row>
    <row r="318" spans="34:47" x14ac:dyDescent="0.2">
      <c r="AH318" s="110"/>
      <c r="AI318" s="110"/>
      <c r="AJ318" s="15"/>
      <c r="AK318" s="15"/>
      <c r="AL318" s="15"/>
    </row>
    <row r="319" spans="34:47" x14ac:dyDescent="0.2">
      <c r="AH319" s="110"/>
      <c r="AI319" s="110"/>
      <c r="AJ319" s="15"/>
      <c r="AK319" s="15"/>
      <c r="AL319" s="15"/>
    </row>
    <row r="320" spans="34:47" x14ac:dyDescent="0.2">
      <c r="AH320" s="110"/>
      <c r="AI320" s="110"/>
      <c r="AJ320" s="15"/>
      <c r="AK320" s="15"/>
      <c r="AL320" s="15"/>
    </row>
    <row r="321" spans="34:38" x14ac:dyDescent="0.2">
      <c r="AH321" s="110"/>
      <c r="AI321" s="110"/>
      <c r="AJ321" s="15"/>
      <c r="AK321" s="15"/>
      <c r="AL321" s="15"/>
    </row>
    <row r="323" spans="34:38" x14ac:dyDescent="0.2">
      <c r="AH323" s="110"/>
      <c r="AI323" s="110"/>
      <c r="AJ323" s="14"/>
      <c r="AK323" s="14"/>
      <c r="AL323" s="14"/>
    </row>
    <row r="324" spans="34:38" x14ac:dyDescent="0.2">
      <c r="AH324" s="110"/>
      <c r="AI324" s="110"/>
      <c r="AJ324" s="15"/>
      <c r="AK324" s="15"/>
      <c r="AL324" s="15"/>
    </row>
    <row r="325" spans="34:38" x14ac:dyDescent="0.2">
      <c r="AH325" s="110"/>
      <c r="AI325" s="110"/>
      <c r="AJ325" s="15"/>
      <c r="AK325" s="15"/>
      <c r="AL325" s="15"/>
    </row>
    <row r="326" spans="34:38" x14ac:dyDescent="0.2">
      <c r="AH326" s="110"/>
      <c r="AI326" s="110"/>
      <c r="AJ326" s="15"/>
      <c r="AK326" s="15"/>
      <c r="AL326" s="15"/>
    </row>
    <row r="327" spans="34:38" x14ac:dyDescent="0.2">
      <c r="AH327" s="110"/>
      <c r="AI327" s="110"/>
      <c r="AJ327" s="15"/>
      <c r="AK327" s="15"/>
      <c r="AL327" s="15"/>
    </row>
    <row r="329" spans="34:38" x14ac:dyDescent="0.2">
      <c r="AH329" s="110"/>
      <c r="AI329" s="110"/>
      <c r="AJ329" s="14"/>
      <c r="AK329" s="14"/>
      <c r="AL329" s="14"/>
    </row>
    <row r="330" spans="34:38" x14ac:dyDescent="0.2">
      <c r="AH330" s="110"/>
      <c r="AI330" s="110"/>
      <c r="AJ330" s="15"/>
      <c r="AK330" s="15"/>
      <c r="AL330" s="15"/>
    </row>
    <row r="331" spans="34:38" x14ac:dyDescent="0.2">
      <c r="AH331" s="110"/>
      <c r="AI331" s="110"/>
      <c r="AJ331" s="15"/>
      <c r="AK331" s="15"/>
      <c r="AL331" s="15"/>
    </row>
    <row r="332" spans="34:38" x14ac:dyDescent="0.2">
      <c r="AH332" s="110"/>
      <c r="AI332" s="110"/>
      <c r="AJ332" s="15"/>
      <c r="AK332" s="15"/>
      <c r="AL332" s="15"/>
    </row>
    <row r="333" spans="34:38" x14ac:dyDescent="0.2">
      <c r="AH333" s="110"/>
      <c r="AI333" s="110"/>
      <c r="AJ333" s="15"/>
      <c r="AK333" s="15"/>
      <c r="AL333" s="15"/>
    </row>
    <row r="335" spans="34:38" x14ac:dyDescent="0.2">
      <c r="AH335" s="110"/>
      <c r="AI335" s="110"/>
      <c r="AJ335" s="14"/>
      <c r="AK335" s="14"/>
      <c r="AL335" s="14"/>
    </row>
    <row r="336" spans="34:38" x14ac:dyDescent="0.2">
      <c r="AH336" s="110"/>
      <c r="AI336" s="110"/>
      <c r="AJ336" s="15"/>
      <c r="AK336" s="15"/>
      <c r="AL336" s="15"/>
    </row>
    <row r="337" spans="34:38" x14ac:dyDescent="0.2">
      <c r="AH337" s="110"/>
      <c r="AI337" s="110"/>
      <c r="AJ337" s="15"/>
      <c r="AK337" s="15"/>
      <c r="AL337" s="15"/>
    </row>
    <row r="338" spans="34:38" x14ac:dyDescent="0.2">
      <c r="AH338" s="110"/>
      <c r="AI338" s="110"/>
      <c r="AJ338" s="15"/>
      <c r="AK338" s="15"/>
      <c r="AL338" s="15"/>
    </row>
    <row r="339" spans="34:38" x14ac:dyDescent="0.2">
      <c r="AH339" s="110"/>
      <c r="AI339" s="110"/>
      <c r="AJ339" s="15"/>
      <c r="AK339" s="15"/>
      <c r="AL339" s="15"/>
    </row>
    <row r="341" spans="34:38" x14ac:dyDescent="0.2">
      <c r="AH341" s="110"/>
      <c r="AI341" s="110"/>
      <c r="AJ341" s="14"/>
      <c r="AK341" s="14"/>
      <c r="AL341" s="14"/>
    </row>
    <row r="342" spans="34:38" x14ac:dyDescent="0.2">
      <c r="AH342" s="110"/>
      <c r="AI342" s="110"/>
      <c r="AJ342" s="15"/>
      <c r="AK342" s="15"/>
      <c r="AL342" s="15"/>
    </row>
    <row r="343" spans="34:38" x14ac:dyDescent="0.2">
      <c r="AH343" s="110"/>
      <c r="AI343" s="110"/>
      <c r="AJ343" s="15"/>
      <c r="AK343" s="15"/>
      <c r="AL343" s="15"/>
    </row>
    <row r="344" spans="34:38" x14ac:dyDescent="0.2">
      <c r="AH344" s="110"/>
      <c r="AI344" s="110"/>
      <c r="AJ344" s="15"/>
      <c r="AK344" s="15"/>
      <c r="AL344" s="15"/>
    </row>
    <row r="345" spans="34:38" x14ac:dyDescent="0.2">
      <c r="AH345" s="110"/>
      <c r="AI345" s="110"/>
      <c r="AJ345" s="15"/>
      <c r="AK345" s="15"/>
      <c r="AL345" s="15"/>
    </row>
    <row r="346" spans="34:38" x14ac:dyDescent="0.2">
      <c r="AH346" s="110"/>
      <c r="AI346" s="110"/>
      <c r="AJ346" s="15"/>
      <c r="AK346" s="15"/>
      <c r="AL346" s="15"/>
    </row>
  </sheetData>
  <sheetProtection sheet="1" objects="1" scenarios="1"/>
  <protectedRanges>
    <protectedRange sqref="M38:M49" name="Range5"/>
    <protectedRange sqref="I5:I7 I11:I21" name="Range4"/>
    <protectedRange sqref="D4:D8 D11 D13" name="Range1"/>
    <protectedRange sqref="D25 D28 D21:D23" name="Range2"/>
  </protectedRanges>
  <mergeCells count="53">
    <mergeCell ref="J5:L5"/>
    <mergeCell ref="J7:L7"/>
    <mergeCell ref="J11:L11"/>
    <mergeCell ref="J16:L16"/>
    <mergeCell ref="J17:L17"/>
    <mergeCell ref="J6:L6"/>
    <mergeCell ref="D73:H73"/>
    <mergeCell ref="J18:L18"/>
    <mergeCell ref="J21:L21"/>
    <mergeCell ref="J12:L12"/>
    <mergeCell ref="J13:L13"/>
    <mergeCell ref="J14:L14"/>
    <mergeCell ref="J15:L15"/>
    <mergeCell ref="D67:R67"/>
    <mergeCell ref="D69:H69"/>
    <mergeCell ref="D70:H70"/>
    <mergeCell ref="D71:H71"/>
    <mergeCell ref="D72:H72"/>
    <mergeCell ref="J19:L19"/>
    <mergeCell ref="J20:L20"/>
    <mergeCell ref="D85:H85"/>
    <mergeCell ref="D74:H74"/>
    <mergeCell ref="D75:H75"/>
    <mergeCell ref="D76:H76"/>
    <mergeCell ref="D77:H77"/>
    <mergeCell ref="D78:H78"/>
    <mergeCell ref="D79:H79"/>
    <mergeCell ref="D80:H80"/>
    <mergeCell ref="D81:H81"/>
    <mergeCell ref="D82:H82"/>
    <mergeCell ref="D83:H83"/>
    <mergeCell ref="D84:H84"/>
    <mergeCell ref="D97:H97"/>
    <mergeCell ref="D86:H86"/>
    <mergeCell ref="D87:H87"/>
    <mergeCell ref="D88:H88"/>
    <mergeCell ref="D89:H89"/>
    <mergeCell ref="D90:H90"/>
    <mergeCell ref="D91:H91"/>
    <mergeCell ref="D92:H92"/>
    <mergeCell ref="D93:H93"/>
    <mergeCell ref="D94:H94"/>
    <mergeCell ref="D95:H95"/>
    <mergeCell ref="D96:H96"/>
    <mergeCell ref="D104:H104"/>
    <mergeCell ref="D105:H105"/>
    <mergeCell ref="D106:H106"/>
    <mergeCell ref="D98:H98"/>
    <mergeCell ref="D99:H99"/>
    <mergeCell ref="D100:H100"/>
    <mergeCell ref="D101:H101"/>
    <mergeCell ref="D102:H102"/>
    <mergeCell ref="D103:H103"/>
  </mergeCells>
  <phoneticPr fontId="1" type="noConversion"/>
  <pageMargins left="0.75" right="0.75" top="1" bottom="1" header="0.5" footer="0.5"/>
  <pageSetup orientation="portrait" horizontalDpi="4294967293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23" r:id="rId4" name="Button 59">
              <controlPr defaultSize="0" print="0" autoFill="0" autoPict="0" macro="[0]!Export">
                <anchor moveWithCells="1">
                  <from>
                    <xdr:col>11</xdr:col>
                    <xdr:colOff>133350</xdr:colOff>
                    <xdr:row>51</xdr:row>
                    <xdr:rowOff>104775</xdr:rowOff>
                  </from>
                  <to>
                    <xdr:col>12</xdr:col>
                    <xdr:colOff>819150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5" name="Button 60">
              <controlPr defaultSize="0" print="0" autoFill="0" autoPict="0" macro="[0]!Optimize">
                <anchor moveWithCells="1">
                  <from>
                    <xdr:col>11</xdr:col>
                    <xdr:colOff>171450</xdr:colOff>
                    <xdr:row>22</xdr:row>
                    <xdr:rowOff>47625</xdr:rowOff>
                  </from>
                  <to>
                    <xdr:col>13</xdr:col>
                    <xdr:colOff>19050</xdr:colOff>
                    <xdr:row>26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5:X149"/>
  <sheetViews>
    <sheetView workbookViewId="0">
      <selection activeCell="D83" sqref="D83"/>
    </sheetView>
  </sheetViews>
  <sheetFormatPr defaultRowHeight="12.75" x14ac:dyDescent="0.2"/>
  <sheetData>
    <row r="5" spans="1:24" x14ac:dyDescent="0.2">
      <c r="A5" s="12"/>
      <c r="B5" s="12"/>
      <c r="C5" s="14" t="s">
        <v>5</v>
      </c>
      <c r="D5" s="14" t="s">
        <v>6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4" x14ac:dyDescent="0.2">
      <c r="A6" s="12"/>
      <c r="B6" s="12"/>
      <c r="C6" s="15">
        <v>0</v>
      </c>
      <c r="D6" s="15">
        <v>0</v>
      </c>
      <c r="E6" s="12"/>
      <c r="F6" s="1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4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4" x14ac:dyDescent="0.2">
      <c r="A8" s="12"/>
      <c r="B8" s="12"/>
      <c r="C8" s="24" t="s">
        <v>3</v>
      </c>
      <c r="D8" s="24" t="s">
        <v>4</v>
      </c>
      <c r="E8" s="24"/>
      <c r="F8" s="24" t="s">
        <v>3</v>
      </c>
      <c r="G8" s="24" t="s">
        <v>4</v>
      </c>
      <c r="H8" s="24"/>
      <c r="I8" s="24" t="s">
        <v>56</v>
      </c>
      <c r="J8" s="24" t="s">
        <v>57</v>
      </c>
      <c r="K8" s="24"/>
      <c r="L8" s="25"/>
      <c r="M8" s="25"/>
      <c r="N8" s="25"/>
      <c r="O8" s="25"/>
      <c r="P8" s="25"/>
      <c r="Q8" s="12"/>
      <c r="R8" s="12"/>
      <c r="S8" s="12"/>
      <c r="T8" s="12"/>
      <c r="U8" s="12"/>
      <c r="V8" s="12"/>
    </row>
    <row r="9" spans="1:24" x14ac:dyDescent="0.2">
      <c r="A9" s="27" t="str">
        <f>'Cyclops TH'!J11</f>
        <v>Panel A</v>
      </c>
      <c r="B9" s="28"/>
      <c r="C9" s="145">
        <f>C27-'Cyclops TH'!$D$28</f>
        <v>89.534999999999997</v>
      </c>
      <c r="D9" s="145">
        <f>D27-'Cyclops TH'!$D$28</f>
        <v>53.975000000000001</v>
      </c>
      <c r="E9" s="31"/>
      <c r="F9" s="29">
        <f>IF('Cyclops TH'!$I$11="x",C9,$C$6)</f>
        <v>89.534999999999997</v>
      </c>
      <c r="G9" s="29">
        <f>IF('Cyclops TH'!$I$11="x",D9,$D$6)</f>
        <v>53.975000000000001</v>
      </c>
      <c r="H9" s="31"/>
      <c r="I9" s="29"/>
      <c r="J9" s="29"/>
      <c r="K9" s="31"/>
      <c r="L9" s="30"/>
      <c r="M9" s="32"/>
      <c r="N9" s="12"/>
      <c r="O9" s="204" t="s">
        <v>128</v>
      </c>
      <c r="P9" s="205" t="s">
        <v>50</v>
      </c>
      <c r="Q9" s="205" t="s">
        <v>51</v>
      </c>
      <c r="R9" s="205" t="s">
        <v>50</v>
      </c>
      <c r="S9" s="205" t="s">
        <v>129</v>
      </c>
      <c r="T9" s="206" t="s">
        <v>130</v>
      </c>
      <c r="U9" s="205" t="s">
        <v>50</v>
      </c>
      <c r="V9" s="205" t="s">
        <v>51</v>
      </c>
      <c r="W9" s="205" t="s">
        <v>50</v>
      </c>
      <c r="X9" s="205" t="s">
        <v>129</v>
      </c>
    </row>
    <row r="10" spans="1:24" x14ac:dyDescent="0.2">
      <c r="A10" s="34"/>
      <c r="B10" s="35"/>
      <c r="C10" s="146">
        <f>C9</f>
        <v>89.534999999999997</v>
      </c>
      <c r="D10" s="146">
        <f>D29+'Cyclops TH'!$D$28</f>
        <v>1.905</v>
      </c>
      <c r="E10" s="38"/>
      <c r="F10" s="36">
        <f>IF('Cyclops TH'!$I$11="x",C10,$C$6)</f>
        <v>89.534999999999997</v>
      </c>
      <c r="G10" s="36">
        <f>IF('Cyclops TH'!$I$11="x",D10,$D$6)</f>
        <v>1.905</v>
      </c>
      <c r="H10" s="38"/>
      <c r="I10" s="37">
        <f t="shared" ref="I10:J13" si="0">C9-C10</f>
        <v>0</v>
      </c>
      <c r="J10" s="37">
        <f t="shared" si="0"/>
        <v>52.07</v>
      </c>
      <c r="K10" s="37">
        <f>(I10^2+J10^2)^0.5</f>
        <v>52.07</v>
      </c>
      <c r="L10" s="37"/>
      <c r="M10" s="39"/>
      <c r="N10" s="12"/>
      <c r="O10" s="207">
        <f>'Cyclops TH'!D35</f>
        <v>14.248221365470389</v>
      </c>
      <c r="P10" s="208">
        <f>COS($O10*PI()/180)</f>
        <v>0.96923855058349184</v>
      </c>
      <c r="Q10" s="208">
        <f>SIN($O10*PI()/180)</f>
        <v>0.24612320504741528</v>
      </c>
      <c r="R10" s="208">
        <f>P10</f>
        <v>0.96923855058349184</v>
      </c>
      <c r="S10" s="208">
        <f>TAN($O10*PI()/180)</f>
        <v>0.25393460144486257</v>
      </c>
      <c r="T10" s="207">
        <f>O10/2</f>
        <v>7.1241106827351945</v>
      </c>
      <c r="U10" s="208">
        <f>COS($T10*PI()/(180*2))</f>
        <v>0.99806809316523049</v>
      </c>
      <c r="V10" s="208">
        <f>SIN($T10*PI()/(180*2))</f>
        <v>6.2129553398690814E-2</v>
      </c>
      <c r="W10" s="208">
        <f>U10</f>
        <v>0.99806809316523049</v>
      </c>
      <c r="X10" s="208">
        <f>TAN($T10*PI()/(180*2))</f>
        <v>6.2249814240284751E-2</v>
      </c>
    </row>
    <row r="11" spans="1:24" x14ac:dyDescent="0.2">
      <c r="A11" s="34"/>
      <c r="B11" s="35"/>
      <c r="C11" s="146">
        <f>C10+'Cyclops TH'!$D$28</f>
        <v>91.44</v>
      </c>
      <c r="D11" s="146">
        <f>D10</f>
        <v>1.905</v>
      </c>
      <c r="E11" s="38"/>
      <c r="F11" s="36">
        <f>IF('Cyclops TH'!$I$11="x",C11,$C$6)</f>
        <v>91.44</v>
      </c>
      <c r="G11" s="36">
        <f>IF('Cyclops TH'!$I$11="x",D11,$D$6)</f>
        <v>1.905</v>
      </c>
      <c r="H11" s="38"/>
      <c r="I11" s="37">
        <f t="shared" si="0"/>
        <v>-1.9050000000000011</v>
      </c>
      <c r="J11" s="37">
        <f t="shared" si="0"/>
        <v>0</v>
      </c>
      <c r="K11" s="37">
        <f>(I11^2+J11^2)^0.5</f>
        <v>1.9050000000000011</v>
      </c>
      <c r="L11" s="37"/>
      <c r="M11" s="39"/>
      <c r="N11" s="12"/>
      <c r="O11" s="12"/>
      <c r="P11" s="12"/>
      <c r="Q11" s="12"/>
      <c r="R11" s="12"/>
      <c r="S11" s="12"/>
      <c r="T11" s="12"/>
      <c r="U11" s="12"/>
      <c r="V11" s="12"/>
    </row>
    <row r="12" spans="1:24" x14ac:dyDescent="0.2">
      <c r="A12" s="34"/>
      <c r="B12" s="35"/>
      <c r="C12" s="146">
        <f>C11</f>
        <v>91.44</v>
      </c>
      <c r="D12" s="146">
        <f>D9</f>
        <v>53.975000000000001</v>
      </c>
      <c r="E12" s="35"/>
      <c r="F12" s="36">
        <f>IF('Cyclops TH'!$I$11="x",C12,$C$6)</f>
        <v>91.44</v>
      </c>
      <c r="G12" s="36">
        <f>IF('Cyclops TH'!$I$11="x",D12,$D$6)</f>
        <v>53.975000000000001</v>
      </c>
      <c r="H12" s="38"/>
      <c r="I12" s="37">
        <f t="shared" si="0"/>
        <v>0</v>
      </c>
      <c r="J12" s="37">
        <f t="shared" si="0"/>
        <v>-52.07</v>
      </c>
      <c r="K12" s="37">
        <f>(I12^2+J12^2)^0.5</f>
        <v>52.07</v>
      </c>
      <c r="L12" s="37"/>
      <c r="M12" s="39"/>
      <c r="N12" s="12"/>
      <c r="O12" s="12"/>
      <c r="P12" s="12"/>
      <c r="Q12" s="12"/>
      <c r="R12" s="12"/>
      <c r="S12" s="12"/>
      <c r="T12" s="12"/>
      <c r="U12" s="12"/>
      <c r="V12" s="12"/>
    </row>
    <row r="13" spans="1:24" x14ac:dyDescent="0.2">
      <c r="A13" s="46"/>
      <c r="B13" s="47"/>
      <c r="C13" s="147">
        <f>C9</f>
        <v>89.534999999999997</v>
      </c>
      <c r="D13" s="147">
        <f>D9</f>
        <v>53.975000000000001</v>
      </c>
      <c r="E13" s="47"/>
      <c r="F13" s="48">
        <f>IF('Cyclops TH'!$I$11="x",C13,$C$6)</f>
        <v>89.534999999999997</v>
      </c>
      <c r="G13" s="48">
        <f>IF('Cyclops TH'!$I$11="x",D13,$D$6)</f>
        <v>53.975000000000001</v>
      </c>
      <c r="H13" s="47"/>
      <c r="I13" s="49">
        <f t="shared" si="0"/>
        <v>1.9050000000000011</v>
      </c>
      <c r="J13" s="49">
        <f t="shared" si="0"/>
        <v>0</v>
      </c>
      <c r="K13" s="49">
        <f>(I13^2+J13^2)^0.5</f>
        <v>1.9050000000000011</v>
      </c>
      <c r="L13" s="47"/>
      <c r="M13" s="50"/>
      <c r="N13" s="12"/>
      <c r="O13" s="12"/>
      <c r="P13" s="12"/>
      <c r="Q13" s="12"/>
      <c r="R13" s="12"/>
      <c r="S13" s="12"/>
      <c r="T13" s="12"/>
      <c r="U13" s="12"/>
      <c r="V13" s="12"/>
    </row>
    <row r="14" spans="1:24" x14ac:dyDescent="0.2">
      <c r="A14" s="12"/>
      <c r="B14" s="12"/>
      <c r="C14" s="148"/>
      <c r="D14" s="148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4" x14ac:dyDescent="0.2">
      <c r="A15" s="27" t="str">
        <f>'Cyclops TH'!J11</f>
        <v>Panel A</v>
      </c>
      <c r="B15" s="28"/>
      <c r="C15" s="145">
        <f>C28</f>
        <v>0</v>
      </c>
      <c r="D15" s="145">
        <f>D9</f>
        <v>53.975000000000001</v>
      </c>
      <c r="E15" s="31"/>
      <c r="F15" s="29">
        <f>IF('Cyclops TH'!$I$11="x",C15,$C$6)</f>
        <v>0</v>
      </c>
      <c r="G15" s="29">
        <f>IF('Cyclops TH'!$I$11="x",D15,$D$6)</f>
        <v>53.975000000000001</v>
      </c>
      <c r="H15" s="31"/>
      <c r="I15" s="29"/>
      <c r="J15" s="29"/>
      <c r="K15" s="31"/>
      <c r="L15" s="30"/>
      <c r="M15" s="32"/>
      <c r="N15" s="12"/>
      <c r="O15" s="12"/>
      <c r="P15" s="12"/>
      <c r="Q15" s="12"/>
      <c r="R15" s="12"/>
      <c r="S15" s="12"/>
      <c r="T15" s="12"/>
      <c r="U15" s="12"/>
      <c r="V15" s="12"/>
    </row>
    <row r="16" spans="1:24" x14ac:dyDescent="0.2">
      <c r="A16" s="34"/>
      <c r="B16" s="35"/>
      <c r="C16" s="146">
        <f>C15</f>
        <v>0</v>
      </c>
      <c r="D16" s="146">
        <f>D35</f>
        <v>1.905</v>
      </c>
      <c r="E16" s="38"/>
      <c r="F16" s="36">
        <f>IF('Cyclops TH'!$I$11="x",C16,$C$6)</f>
        <v>0</v>
      </c>
      <c r="G16" s="36">
        <f>IF('Cyclops TH'!$I$11="x",D16,$D$6)</f>
        <v>1.905</v>
      </c>
      <c r="H16" s="38"/>
      <c r="I16" s="37">
        <f t="shared" ref="I16:J19" si="1">C15-C16</f>
        <v>0</v>
      </c>
      <c r="J16" s="37">
        <f t="shared" si="1"/>
        <v>52.07</v>
      </c>
      <c r="K16" s="37">
        <f>(I16^2+J16^2)^0.5</f>
        <v>52.07</v>
      </c>
      <c r="L16" s="37"/>
      <c r="M16" s="39"/>
      <c r="N16" s="12"/>
      <c r="O16" s="12"/>
      <c r="P16" s="12"/>
      <c r="Q16" s="12"/>
      <c r="R16" s="12"/>
      <c r="S16" s="12"/>
      <c r="T16" s="12"/>
      <c r="U16" s="12"/>
      <c r="V16" s="12"/>
    </row>
    <row r="17" spans="1:22" x14ac:dyDescent="0.2">
      <c r="A17" s="34"/>
      <c r="B17" s="35"/>
      <c r="C17" s="146">
        <f>C16+'Cyclops TH'!$D$28</f>
        <v>1.905</v>
      </c>
      <c r="D17" s="146">
        <f>D16</f>
        <v>1.905</v>
      </c>
      <c r="E17" s="38"/>
      <c r="F17" s="36">
        <f>IF('Cyclops TH'!$I$11="x",C17,$C$6)</f>
        <v>1.905</v>
      </c>
      <c r="G17" s="36">
        <f>IF('Cyclops TH'!$I$11="x",D17,$D$6)</f>
        <v>1.905</v>
      </c>
      <c r="H17" s="38"/>
      <c r="I17" s="37">
        <f t="shared" si="1"/>
        <v>-1.905</v>
      </c>
      <c r="J17" s="37">
        <f t="shared" si="1"/>
        <v>0</v>
      </c>
      <c r="K17" s="37">
        <f>(I17^2+J17^2)^0.5</f>
        <v>1.905</v>
      </c>
      <c r="L17" s="37"/>
      <c r="M17" s="39"/>
      <c r="N17" s="12"/>
      <c r="O17" s="12"/>
      <c r="P17" s="12"/>
      <c r="Q17" s="12"/>
      <c r="R17" s="12"/>
      <c r="S17" s="12"/>
      <c r="T17" s="12"/>
      <c r="U17" s="12"/>
      <c r="V17" s="12"/>
    </row>
    <row r="18" spans="1:22" x14ac:dyDescent="0.2">
      <c r="A18" s="34"/>
      <c r="B18" s="35"/>
      <c r="C18" s="146">
        <f>C17</f>
        <v>1.905</v>
      </c>
      <c r="D18" s="146">
        <f>D15</f>
        <v>53.975000000000001</v>
      </c>
      <c r="E18" s="35"/>
      <c r="F18" s="36">
        <f>IF('Cyclops TH'!$I$11="x",C18,$C$6)</f>
        <v>1.905</v>
      </c>
      <c r="G18" s="36">
        <f>IF('Cyclops TH'!$I$11="x",D18,$D$6)</f>
        <v>53.975000000000001</v>
      </c>
      <c r="H18" s="38"/>
      <c r="I18" s="37">
        <f t="shared" si="1"/>
        <v>0</v>
      </c>
      <c r="J18" s="37">
        <f t="shared" si="1"/>
        <v>-52.07</v>
      </c>
      <c r="K18" s="37">
        <f>(I18^2+J18^2)^0.5</f>
        <v>52.07</v>
      </c>
      <c r="L18" s="37"/>
      <c r="M18" s="39"/>
      <c r="N18" s="12"/>
      <c r="O18" s="12"/>
      <c r="P18" s="12"/>
      <c r="Q18" s="12"/>
      <c r="R18" s="12"/>
      <c r="S18" s="12"/>
      <c r="T18" s="12"/>
      <c r="U18" s="12"/>
      <c r="V18" s="12"/>
    </row>
    <row r="19" spans="1:22" x14ac:dyDescent="0.2">
      <c r="A19" s="46"/>
      <c r="B19" s="47"/>
      <c r="C19" s="147">
        <f>C15</f>
        <v>0</v>
      </c>
      <c r="D19" s="147">
        <f>D15</f>
        <v>53.975000000000001</v>
      </c>
      <c r="E19" s="47"/>
      <c r="F19" s="48">
        <f>IF('Cyclops TH'!$I$11="x",C19,$C$6)</f>
        <v>0</v>
      </c>
      <c r="G19" s="48">
        <f>IF('Cyclops TH'!$I$11="x",D19,$D$6)</f>
        <v>53.975000000000001</v>
      </c>
      <c r="H19" s="47"/>
      <c r="I19" s="49">
        <f t="shared" si="1"/>
        <v>1.905</v>
      </c>
      <c r="J19" s="49">
        <f t="shared" si="1"/>
        <v>0</v>
      </c>
      <c r="K19" s="49">
        <f>(I19^2+J19^2)^0.5</f>
        <v>1.905</v>
      </c>
      <c r="L19" s="47"/>
      <c r="M19" s="50"/>
      <c r="N19" s="12"/>
      <c r="O19" s="12"/>
      <c r="P19" s="12"/>
      <c r="Q19" s="12"/>
      <c r="R19" s="12"/>
      <c r="S19" s="12"/>
      <c r="T19" s="12"/>
      <c r="U19" s="12"/>
      <c r="V19" s="12"/>
    </row>
    <row r="20" spans="1:22" x14ac:dyDescent="0.2">
      <c r="A20" s="12"/>
      <c r="B20" s="12"/>
      <c r="C20" s="148"/>
      <c r="D20" s="14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x14ac:dyDescent="0.2">
      <c r="A21" s="27" t="str">
        <f>'Cyclops TH'!J12</f>
        <v>Panel B (center)</v>
      </c>
      <c r="B21" s="28"/>
      <c r="C21" s="145">
        <f>(C27+'Cyclops TH'!$D$28)/2</f>
        <v>46.672499999999999</v>
      </c>
      <c r="D21" s="145">
        <f>D29+'Cyclops TH'!$D$28</f>
        <v>1.905</v>
      </c>
      <c r="E21" s="31"/>
      <c r="F21" s="29">
        <f>IF('Cyclops TH'!$I$12="x",C21,$C$6)</f>
        <v>46.672499999999999</v>
      </c>
      <c r="G21" s="29">
        <f>IF('Cyclops TH'!$I$12="x",D21,$D$6)</f>
        <v>1.905</v>
      </c>
      <c r="H21" s="31"/>
      <c r="I21" s="30"/>
      <c r="J21" s="30"/>
      <c r="K21" s="30"/>
      <c r="L21" s="30"/>
      <c r="M21" s="32"/>
      <c r="N21" s="12"/>
      <c r="O21" s="12"/>
      <c r="P21" s="12"/>
      <c r="Q21" s="12"/>
      <c r="R21" s="12"/>
      <c r="S21" s="12"/>
      <c r="T21" s="12"/>
      <c r="U21" s="12"/>
      <c r="V21" s="12"/>
    </row>
    <row r="22" spans="1:22" x14ac:dyDescent="0.2">
      <c r="A22" s="34"/>
      <c r="B22" s="35"/>
      <c r="C22" s="146">
        <f>C21</f>
        <v>46.672499999999999</v>
      </c>
      <c r="D22" s="146">
        <f>D21+'Cyclops TH'!H39</f>
        <v>25.327303214400271</v>
      </c>
      <c r="E22" s="38"/>
      <c r="F22" s="36">
        <f>IF('Cyclops TH'!$I$12="x",C22,$C$6)</f>
        <v>46.672499999999999</v>
      </c>
      <c r="G22" s="36">
        <f>IF('Cyclops TH'!$I$12="x",D22,$D$6)</f>
        <v>25.327303214400271</v>
      </c>
      <c r="H22" s="38"/>
      <c r="I22" s="37">
        <f t="shared" ref="I22:J25" si="2">C21-C22</f>
        <v>0</v>
      </c>
      <c r="J22" s="37">
        <f t="shared" si="2"/>
        <v>-23.422303214400269</v>
      </c>
      <c r="K22" s="37">
        <f>(I22^2+J22^2)^0.5</f>
        <v>23.422303214400269</v>
      </c>
      <c r="L22" s="37"/>
      <c r="M22" s="39"/>
      <c r="N22" s="12"/>
      <c r="O22" s="12"/>
      <c r="P22" s="12"/>
      <c r="Q22" s="12"/>
      <c r="R22" s="12"/>
      <c r="S22" s="12"/>
      <c r="T22" s="12"/>
      <c r="U22" s="12"/>
      <c r="V22" s="12"/>
    </row>
    <row r="23" spans="1:22" x14ac:dyDescent="0.2">
      <c r="A23" s="34"/>
      <c r="B23" s="35"/>
      <c r="C23" s="146">
        <f>C22-'Cyclops TH'!$D$28</f>
        <v>44.767499999999998</v>
      </c>
      <c r="D23" s="146">
        <f>D22</f>
        <v>25.327303214400271</v>
      </c>
      <c r="E23" s="35"/>
      <c r="F23" s="36">
        <f>IF('Cyclops TH'!$I$12="x",C23,$C$6)</f>
        <v>44.767499999999998</v>
      </c>
      <c r="G23" s="36">
        <f>IF('Cyclops TH'!$I$12="x",D23,$D$6)</f>
        <v>25.327303214400271</v>
      </c>
      <c r="H23" s="38"/>
      <c r="I23" s="37">
        <f t="shared" si="2"/>
        <v>1.9050000000000011</v>
      </c>
      <c r="J23" s="37">
        <f t="shared" si="2"/>
        <v>0</v>
      </c>
      <c r="K23" s="37">
        <f>(I23^2+J23^2)^0.5</f>
        <v>1.9050000000000011</v>
      </c>
      <c r="L23" s="37"/>
      <c r="M23" s="39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">
      <c r="A24" s="34"/>
      <c r="B24" s="35"/>
      <c r="C24" s="146">
        <f>C23</f>
        <v>44.767499999999998</v>
      </c>
      <c r="D24" s="146">
        <f>D21</f>
        <v>1.905</v>
      </c>
      <c r="E24" s="35"/>
      <c r="F24" s="36">
        <f>IF('Cyclops TH'!$I$12="x",C24,$C$6)</f>
        <v>44.767499999999998</v>
      </c>
      <c r="G24" s="36">
        <f>IF('Cyclops TH'!$I$12="x",D24,$D$6)</f>
        <v>1.905</v>
      </c>
      <c r="H24" s="38"/>
      <c r="I24" s="37">
        <f t="shared" si="2"/>
        <v>0</v>
      </c>
      <c r="J24" s="37">
        <f t="shared" si="2"/>
        <v>23.422303214400269</v>
      </c>
      <c r="K24" s="37">
        <f>(I24^2+J24^2)^0.5</f>
        <v>23.422303214400269</v>
      </c>
      <c r="L24" s="37"/>
      <c r="M24" s="39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">
      <c r="A25" s="46"/>
      <c r="B25" s="47"/>
      <c r="C25" s="147">
        <f>C21</f>
        <v>46.672499999999999</v>
      </c>
      <c r="D25" s="147">
        <f>D24</f>
        <v>1.905</v>
      </c>
      <c r="E25" s="47"/>
      <c r="F25" s="48">
        <f>IF('Cyclops TH'!$I$12="x",C25,$C$6)</f>
        <v>46.672499999999999</v>
      </c>
      <c r="G25" s="48">
        <f>IF('Cyclops TH'!$I$12="x",D25,$D$6)</f>
        <v>1.905</v>
      </c>
      <c r="H25" s="47"/>
      <c r="I25" s="49">
        <f t="shared" si="2"/>
        <v>-1.9050000000000011</v>
      </c>
      <c r="J25" s="49">
        <f t="shared" si="2"/>
        <v>0</v>
      </c>
      <c r="K25" s="49">
        <f>(I25^2+J25^2)^0.5</f>
        <v>1.9050000000000011</v>
      </c>
      <c r="L25" s="47"/>
      <c r="M25" s="50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">
      <c r="A26" s="12"/>
      <c r="B26" s="12"/>
      <c r="C26" s="148"/>
      <c r="D26" s="14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">
      <c r="A27" s="27" t="str">
        <f>'Cyclops TH'!J13</f>
        <v>Panel C</v>
      </c>
      <c r="B27" s="28"/>
      <c r="C27" s="145">
        <f>'Cyclops TH'!D23+$C$6</f>
        <v>91.44</v>
      </c>
      <c r="D27" s="145">
        <f>'Cyclops TH'!D21</f>
        <v>55.88</v>
      </c>
      <c r="E27" s="31"/>
      <c r="F27" s="29">
        <f>IF('Cyclops TH'!$I$13="x",C27,$C$6)</f>
        <v>91.44</v>
      </c>
      <c r="G27" s="29">
        <f>IF('Cyclops TH'!$I$13="x",D27,$D$6)</f>
        <v>55.88</v>
      </c>
      <c r="H27" s="31"/>
      <c r="I27" s="30"/>
      <c r="J27" s="30"/>
      <c r="K27" s="30"/>
      <c r="L27" s="30"/>
      <c r="M27" s="3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">
      <c r="A28" s="34"/>
      <c r="B28" s="35"/>
      <c r="C28" s="146">
        <f>C6</f>
        <v>0</v>
      </c>
      <c r="D28" s="146">
        <f>D27</f>
        <v>55.88</v>
      </c>
      <c r="E28" s="38"/>
      <c r="F28" s="36">
        <f>IF('Cyclops TH'!$I$13="x",C28,$C$6)</f>
        <v>0</v>
      </c>
      <c r="G28" s="36">
        <f>IF('Cyclops TH'!$I$13="x",D28,$D$6)</f>
        <v>55.88</v>
      </c>
      <c r="H28" s="38"/>
      <c r="I28" s="37">
        <f t="shared" ref="I28:J31" si="3">C27-C28</f>
        <v>91.44</v>
      </c>
      <c r="J28" s="37">
        <f t="shared" si="3"/>
        <v>0</v>
      </c>
      <c r="K28" s="37">
        <f>(I28^2+J28^2)^0.5</f>
        <v>91.44</v>
      </c>
      <c r="L28" s="37"/>
      <c r="M28" s="39"/>
      <c r="N28" s="12"/>
      <c r="O28" s="12"/>
      <c r="P28" s="12"/>
      <c r="Q28" s="12"/>
      <c r="R28" s="12"/>
      <c r="S28" s="12"/>
      <c r="T28" s="12"/>
      <c r="U28" s="12"/>
      <c r="V28" s="12"/>
    </row>
    <row r="29" spans="1:22" x14ac:dyDescent="0.2">
      <c r="A29" s="34"/>
      <c r="B29" s="35"/>
      <c r="C29" s="146">
        <f>C28</f>
        <v>0</v>
      </c>
      <c r="D29" s="146">
        <f>D6</f>
        <v>0</v>
      </c>
      <c r="E29" s="38"/>
      <c r="F29" s="36">
        <f>IF('Cyclops TH'!$I$13="x",C29,$C$6)</f>
        <v>0</v>
      </c>
      <c r="G29" s="36">
        <f>IF('Cyclops TH'!$I$13="x",D29,$D$6)</f>
        <v>0</v>
      </c>
      <c r="H29" s="38"/>
      <c r="I29" s="37">
        <f t="shared" si="3"/>
        <v>0</v>
      </c>
      <c r="J29" s="37">
        <f t="shared" si="3"/>
        <v>55.88</v>
      </c>
      <c r="K29" s="37">
        <f>(I29^2+J29^2)^0.5</f>
        <v>55.88</v>
      </c>
      <c r="L29" s="37"/>
      <c r="M29" s="39"/>
      <c r="N29" s="12"/>
      <c r="O29" s="12"/>
      <c r="P29" s="12"/>
      <c r="Q29" s="12"/>
      <c r="R29" s="12"/>
      <c r="S29" s="12"/>
      <c r="T29" s="12"/>
      <c r="U29" s="12"/>
      <c r="V29" s="12"/>
    </row>
    <row r="30" spans="1:22" x14ac:dyDescent="0.2">
      <c r="A30" s="34"/>
      <c r="B30" s="35"/>
      <c r="C30" s="146">
        <f>C27</f>
        <v>91.44</v>
      </c>
      <c r="D30" s="146">
        <f>D29</f>
        <v>0</v>
      </c>
      <c r="E30" s="38"/>
      <c r="F30" s="36">
        <f>IF('Cyclops TH'!$I$13="x",C30,$C$6)</f>
        <v>91.44</v>
      </c>
      <c r="G30" s="36">
        <f>IF('Cyclops TH'!$I$13="x",D30,$D$6)</f>
        <v>0</v>
      </c>
      <c r="H30" s="38"/>
      <c r="I30" s="37">
        <f t="shared" si="3"/>
        <v>-91.44</v>
      </c>
      <c r="J30" s="37">
        <f t="shared" si="3"/>
        <v>0</v>
      </c>
      <c r="K30" s="37">
        <f>(I30^2+J30^2)^0.5</f>
        <v>91.44</v>
      </c>
      <c r="L30" s="37"/>
      <c r="M30" s="39"/>
      <c r="N30" s="12"/>
      <c r="O30" s="12"/>
      <c r="P30" s="12"/>
      <c r="Q30" s="12"/>
      <c r="R30" s="12"/>
      <c r="S30" s="12"/>
      <c r="T30" s="12"/>
      <c r="U30" s="12"/>
      <c r="V30" s="12"/>
    </row>
    <row r="31" spans="1:22" x14ac:dyDescent="0.2">
      <c r="A31" s="46"/>
      <c r="B31" s="47"/>
      <c r="C31" s="147">
        <f>C27</f>
        <v>91.44</v>
      </c>
      <c r="D31" s="147">
        <f>D27</f>
        <v>55.88</v>
      </c>
      <c r="E31" s="47"/>
      <c r="F31" s="48">
        <f>IF('Cyclops TH'!$I$13="x",C31,$C$6)</f>
        <v>91.44</v>
      </c>
      <c r="G31" s="48">
        <f>IF('Cyclops TH'!$I$13="x",D31,$D$6)</f>
        <v>55.88</v>
      </c>
      <c r="H31" s="47"/>
      <c r="I31" s="49">
        <f t="shared" si="3"/>
        <v>0</v>
      </c>
      <c r="J31" s="49">
        <f t="shared" si="3"/>
        <v>-55.88</v>
      </c>
      <c r="K31" s="49">
        <f>(I31^2+J31^2)^0.5</f>
        <v>55.88</v>
      </c>
      <c r="L31" s="47"/>
      <c r="M31" s="50"/>
      <c r="N31" s="12"/>
      <c r="O31" s="12"/>
      <c r="P31" s="12"/>
      <c r="Q31" s="12"/>
      <c r="R31" s="12"/>
      <c r="S31" s="12"/>
      <c r="T31" s="12"/>
      <c r="U31" s="12"/>
      <c r="V31" s="12"/>
    </row>
    <row r="32" spans="1:22" x14ac:dyDescent="0.2">
      <c r="A32" s="12"/>
      <c r="B32" s="12"/>
      <c r="C32" s="148"/>
      <c r="D32" s="14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x14ac:dyDescent="0.2">
      <c r="A33" s="27" t="str">
        <f>'Cyclops TH'!J14</f>
        <v>Panel D</v>
      </c>
      <c r="B33" s="28"/>
      <c r="C33" s="145">
        <f>C28</f>
        <v>0</v>
      </c>
      <c r="D33" s="145">
        <f>D29</f>
        <v>0</v>
      </c>
      <c r="E33" s="31"/>
      <c r="F33" s="29">
        <f>IF('Cyclops TH'!$I$14="x",C33,$C$6)</f>
        <v>0</v>
      </c>
      <c r="G33" s="29">
        <f>IF('Cyclops TH'!$I$14="x",D33,$D$6)</f>
        <v>0</v>
      </c>
      <c r="H33" s="31"/>
      <c r="I33" s="30"/>
      <c r="J33" s="30"/>
      <c r="K33" s="30"/>
      <c r="L33" s="30"/>
      <c r="M33" s="32"/>
      <c r="N33" s="12"/>
      <c r="O33" s="12"/>
      <c r="P33" s="12"/>
      <c r="Q33" s="12"/>
      <c r="R33" s="12"/>
      <c r="S33" s="12"/>
      <c r="T33" s="12"/>
      <c r="U33" s="12"/>
      <c r="V33" s="12"/>
    </row>
    <row r="34" spans="1:22" x14ac:dyDescent="0.2">
      <c r="A34" s="34"/>
      <c r="B34" s="35"/>
      <c r="C34" s="146">
        <f>C27</f>
        <v>91.44</v>
      </c>
      <c r="D34" s="146">
        <f>D33</f>
        <v>0</v>
      </c>
      <c r="E34" s="38"/>
      <c r="F34" s="36">
        <f>IF('Cyclops TH'!$I$14="x",C34,$C$6)</f>
        <v>91.44</v>
      </c>
      <c r="G34" s="36">
        <f>IF('Cyclops TH'!$I$14="x",D34,$D$6)</f>
        <v>0</v>
      </c>
      <c r="H34" s="38"/>
      <c r="I34" s="37">
        <f t="shared" ref="I34:J37" si="4">C33-C34</f>
        <v>-91.44</v>
      </c>
      <c r="J34" s="37">
        <f t="shared" si="4"/>
        <v>0</v>
      </c>
      <c r="K34" s="37">
        <f>(I34^2+J34^2)^0.5</f>
        <v>91.44</v>
      </c>
      <c r="L34" s="37"/>
      <c r="M34" s="39"/>
      <c r="N34" s="12"/>
      <c r="O34" s="12"/>
      <c r="P34" s="12"/>
      <c r="Q34" s="12"/>
      <c r="R34" s="12"/>
      <c r="S34" s="12"/>
      <c r="T34" s="12"/>
      <c r="U34" s="12"/>
      <c r="V34" s="12"/>
    </row>
    <row r="35" spans="1:22" x14ac:dyDescent="0.2">
      <c r="A35" s="34"/>
      <c r="B35" s="35"/>
      <c r="C35" s="146">
        <f>C34</f>
        <v>91.44</v>
      </c>
      <c r="D35" s="146">
        <f>D29+'Cyclops TH'!$D$28</f>
        <v>1.905</v>
      </c>
      <c r="E35" s="38"/>
      <c r="F35" s="36">
        <f>IF('Cyclops TH'!$I$14="x",C35,$C$6)</f>
        <v>91.44</v>
      </c>
      <c r="G35" s="36">
        <f>IF('Cyclops TH'!$I$14="x",D35,$D$6)</f>
        <v>1.905</v>
      </c>
      <c r="H35" s="38"/>
      <c r="I35" s="37">
        <f t="shared" si="4"/>
        <v>0</v>
      </c>
      <c r="J35" s="37">
        <f t="shared" si="4"/>
        <v>-1.905</v>
      </c>
      <c r="K35" s="37">
        <f>(I35^2+J35^2)^0.5</f>
        <v>1.905</v>
      </c>
      <c r="L35" s="37"/>
      <c r="M35" s="39"/>
      <c r="N35" s="12"/>
      <c r="O35" s="12"/>
      <c r="P35" s="12"/>
      <c r="Q35" s="12"/>
      <c r="R35" s="12"/>
      <c r="S35" s="12"/>
      <c r="T35" s="12"/>
      <c r="U35" s="12"/>
      <c r="V35" s="12"/>
    </row>
    <row r="36" spans="1:22" x14ac:dyDescent="0.2">
      <c r="A36" s="34"/>
      <c r="B36" s="35"/>
      <c r="C36" s="146">
        <f>C33</f>
        <v>0</v>
      </c>
      <c r="D36" s="146">
        <f>D35</f>
        <v>1.905</v>
      </c>
      <c r="E36" s="38"/>
      <c r="F36" s="36">
        <f>IF('Cyclops TH'!$I$14="x",C36,$C$6)</f>
        <v>0</v>
      </c>
      <c r="G36" s="36">
        <f>IF('Cyclops TH'!$I$14="x",D36,$D$6)</f>
        <v>1.905</v>
      </c>
      <c r="H36" s="38"/>
      <c r="I36" s="37">
        <f t="shared" si="4"/>
        <v>91.44</v>
      </c>
      <c r="J36" s="37">
        <f t="shared" si="4"/>
        <v>0</v>
      </c>
      <c r="K36" s="37">
        <f>(I36^2+J36^2)^0.5</f>
        <v>91.44</v>
      </c>
      <c r="L36" s="37"/>
      <c r="M36" s="39"/>
      <c r="N36" s="12"/>
      <c r="O36" s="12"/>
      <c r="P36" s="12"/>
      <c r="Q36" s="12"/>
      <c r="R36" s="12"/>
      <c r="S36" s="12"/>
      <c r="T36" s="12"/>
      <c r="U36" s="12"/>
      <c r="V36" s="12"/>
    </row>
    <row r="37" spans="1:22" x14ac:dyDescent="0.2">
      <c r="A37" s="46"/>
      <c r="B37" s="47"/>
      <c r="C37" s="147">
        <f>C33</f>
        <v>0</v>
      </c>
      <c r="D37" s="147">
        <f>D33</f>
        <v>0</v>
      </c>
      <c r="E37" s="83"/>
      <c r="F37" s="48">
        <f>IF('Cyclops TH'!$I$14="x",C37,$C$6)</f>
        <v>0</v>
      </c>
      <c r="G37" s="48">
        <f>IF('Cyclops TH'!$I$14="x",D37,$D$6)</f>
        <v>0</v>
      </c>
      <c r="H37" s="83"/>
      <c r="I37" s="49">
        <f t="shared" si="4"/>
        <v>0</v>
      </c>
      <c r="J37" s="49">
        <f t="shared" si="4"/>
        <v>1.905</v>
      </c>
      <c r="K37" s="49">
        <f>(I37^2+J37^2)^0.5</f>
        <v>1.905</v>
      </c>
      <c r="L37" s="47"/>
      <c r="M37" s="50"/>
      <c r="N37" s="12"/>
      <c r="O37" s="12"/>
      <c r="P37" s="12"/>
      <c r="Q37" s="12"/>
      <c r="R37" s="12"/>
      <c r="S37" s="12"/>
      <c r="T37" s="12"/>
      <c r="U37" s="12"/>
      <c r="V37" s="12"/>
    </row>
    <row r="38" spans="1:22" x14ac:dyDescent="0.2">
      <c r="A38" s="12"/>
      <c r="B38" s="12"/>
      <c r="C38" s="148"/>
      <c r="D38" s="148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x14ac:dyDescent="0.2">
      <c r="A39" s="27" t="str">
        <f>'Cyclops TH'!J15</f>
        <v>Panel E</v>
      </c>
      <c r="B39" s="28"/>
      <c r="C39" s="145">
        <f>C31</f>
        <v>91.44</v>
      </c>
      <c r="D39" s="145">
        <f>D27</f>
        <v>55.88</v>
      </c>
      <c r="E39" s="31"/>
      <c r="F39" s="29">
        <f>IF('Cyclops TH'!$I$15="x",C39,$C$6)</f>
        <v>91.44</v>
      </c>
      <c r="G39" s="29">
        <f>IF('Cyclops TH'!$I$15="x",D39,$C$6)</f>
        <v>55.88</v>
      </c>
      <c r="H39" s="31"/>
      <c r="I39" s="30"/>
      <c r="J39" s="30"/>
      <c r="K39" s="30"/>
      <c r="L39" s="30"/>
      <c r="M39" s="32"/>
      <c r="N39" s="12"/>
      <c r="O39" s="12"/>
      <c r="P39" s="12"/>
      <c r="Q39" s="12"/>
      <c r="R39" s="12"/>
      <c r="S39" s="12"/>
      <c r="T39" s="12"/>
      <c r="U39" s="12"/>
      <c r="V39" s="12"/>
    </row>
    <row r="40" spans="1:22" x14ac:dyDescent="0.2">
      <c r="A40" s="34"/>
      <c r="B40" s="35"/>
      <c r="C40" s="146">
        <f>C39-'Cyclops TH'!H42</f>
        <v>70.895037846803291</v>
      </c>
      <c r="D40" s="146">
        <f>D39</f>
        <v>55.88</v>
      </c>
      <c r="E40" s="38"/>
      <c r="F40" s="36">
        <f>IF('Cyclops TH'!$I$15="x",C40,$C$6)</f>
        <v>70.895037846803291</v>
      </c>
      <c r="G40" s="36">
        <f>IF('Cyclops TH'!$I$15="x",D40,$C$6)</f>
        <v>55.88</v>
      </c>
      <c r="H40" s="38"/>
      <c r="I40" s="37">
        <f t="shared" ref="I40:J43" si="5">C39-C40</f>
        <v>20.544962153196707</v>
      </c>
      <c r="J40" s="37">
        <f t="shared" si="5"/>
        <v>0</v>
      </c>
      <c r="K40" s="37">
        <f>(I40^2+J40^2)^0.5</f>
        <v>20.544962153196707</v>
      </c>
      <c r="L40" s="37"/>
      <c r="M40" s="39"/>
      <c r="N40" s="12"/>
      <c r="O40" s="12"/>
      <c r="P40" s="12"/>
      <c r="Q40" s="12"/>
      <c r="R40" s="12"/>
      <c r="S40" s="12"/>
      <c r="T40" s="12"/>
      <c r="U40" s="12"/>
      <c r="V40" s="12"/>
    </row>
    <row r="41" spans="1:22" x14ac:dyDescent="0.2">
      <c r="A41" s="34"/>
      <c r="B41" s="35"/>
      <c r="C41" s="146">
        <f>C40</f>
        <v>70.895037846803291</v>
      </c>
      <c r="D41" s="146">
        <f>D40-'Cyclops TH'!$D$28</f>
        <v>53.975000000000001</v>
      </c>
      <c r="E41" s="38"/>
      <c r="F41" s="36">
        <f>IF('Cyclops TH'!$I$15="x",C41,$C$6)</f>
        <v>70.895037846803291</v>
      </c>
      <c r="G41" s="36">
        <f>IF('Cyclops TH'!$I$15="x",D41,$C$6)</f>
        <v>53.975000000000001</v>
      </c>
      <c r="H41" s="38"/>
      <c r="I41" s="37">
        <f t="shared" si="5"/>
        <v>0</v>
      </c>
      <c r="J41" s="37">
        <f t="shared" si="5"/>
        <v>1.9050000000000011</v>
      </c>
      <c r="K41" s="37">
        <f>(I41^2+J41^2)^0.5</f>
        <v>1.9050000000000011</v>
      </c>
      <c r="L41" s="37"/>
      <c r="M41" s="39"/>
      <c r="N41" s="12"/>
      <c r="O41" s="12"/>
      <c r="P41" s="12"/>
      <c r="Q41" s="12"/>
      <c r="R41" s="12"/>
      <c r="S41" s="12"/>
      <c r="T41" s="12"/>
      <c r="U41" s="12"/>
      <c r="V41" s="12"/>
    </row>
    <row r="42" spans="1:22" x14ac:dyDescent="0.2">
      <c r="A42" s="34"/>
      <c r="B42" s="35"/>
      <c r="C42" s="146">
        <f>C39</f>
        <v>91.44</v>
      </c>
      <c r="D42" s="146">
        <f>D41</f>
        <v>53.975000000000001</v>
      </c>
      <c r="E42" s="38"/>
      <c r="F42" s="36">
        <f>IF('Cyclops TH'!$I$15="x",C42,$C$6)</f>
        <v>91.44</v>
      </c>
      <c r="G42" s="36">
        <f>IF('Cyclops TH'!$I$15="x",D42,$C$6)</f>
        <v>53.975000000000001</v>
      </c>
      <c r="H42" s="38"/>
      <c r="I42" s="37">
        <f t="shared" si="5"/>
        <v>-20.544962153196707</v>
      </c>
      <c r="J42" s="37">
        <f t="shared" si="5"/>
        <v>0</v>
      </c>
      <c r="K42" s="37">
        <f>(I42^2+J42^2)^0.5</f>
        <v>20.544962153196707</v>
      </c>
      <c r="L42" s="37"/>
      <c r="M42" s="39"/>
      <c r="N42" s="12"/>
      <c r="O42" s="12"/>
      <c r="P42" s="12"/>
      <c r="Q42" s="12"/>
      <c r="R42" s="12"/>
      <c r="S42" s="12"/>
      <c r="T42" s="12"/>
      <c r="U42" s="12"/>
      <c r="V42" s="12"/>
    </row>
    <row r="43" spans="1:22" x14ac:dyDescent="0.2">
      <c r="A43" s="46"/>
      <c r="B43" s="47"/>
      <c r="C43" s="147">
        <f>C42</f>
        <v>91.44</v>
      </c>
      <c r="D43" s="147">
        <f>D40</f>
        <v>55.88</v>
      </c>
      <c r="E43" s="83"/>
      <c r="F43" s="48">
        <f>IF('Cyclops TH'!$I$15="x",C43,$C$6)</f>
        <v>91.44</v>
      </c>
      <c r="G43" s="48">
        <f>IF('Cyclops TH'!$I$15="x",D43,$C$6)</f>
        <v>55.88</v>
      </c>
      <c r="H43" s="83"/>
      <c r="I43" s="49">
        <f t="shared" si="5"/>
        <v>0</v>
      </c>
      <c r="J43" s="49">
        <f t="shared" si="5"/>
        <v>-1.9050000000000011</v>
      </c>
      <c r="K43" s="49">
        <f>(I43^2+J43^2)^0.5</f>
        <v>1.9050000000000011</v>
      </c>
      <c r="L43" s="47"/>
      <c r="M43" s="50"/>
      <c r="N43" s="12"/>
      <c r="O43" s="12"/>
      <c r="P43" s="12"/>
      <c r="Q43" s="12"/>
      <c r="R43" s="12"/>
      <c r="S43" s="12"/>
      <c r="T43" s="12"/>
      <c r="U43" s="12"/>
      <c r="V43" s="12"/>
    </row>
    <row r="44" spans="1:22" x14ac:dyDescent="0.2">
      <c r="A44" s="12"/>
      <c r="B44" s="12"/>
      <c r="C44" s="148"/>
      <c r="D44" s="148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x14ac:dyDescent="0.2">
      <c r="A45" s="27" t="str">
        <f>A39</f>
        <v>Panel E</v>
      </c>
      <c r="B45" s="28"/>
      <c r="C45" s="145">
        <f>C29</f>
        <v>0</v>
      </c>
      <c r="D45" s="145">
        <f>D39</f>
        <v>55.88</v>
      </c>
      <c r="E45" s="31"/>
      <c r="F45" s="29">
        <f>IF('Cyclops TH'!$I$15="x",C45,$C$6)</f>
        <v>0</v>
      </c>
      <c r="G45" s="29">
        <f>IF('Cyclops TH'!$I$15="x",D45,$D$6)</f>
        <v>55.88</v>
      </c>
      <c r="H45" s="31"/>
      <c r="I45" s="30"/>
      <c r="J45" s="30"/>
      <c r="K45" s="30"/>
      <c r="L45" s="30"/>
      <c r="M45" s="32"/>
      <c r="N45" s="12"/>
      <c r="O45" s="12"/>
      <c r="P45" s="12"/>
      <c r="Q45" s="12"/>
      <c r="R45" s="12"/>
      <c r="S45" s="12"/>
      <c r="T45" s="12"/>
      <c r="U45" s="12"/>
      <c r="V45" s="12"/>
    </row>
    <row r="46" spans="1:22" x14ac:dyDescent="0.2">
      <c r="A46" s="34"/>
      <c r="B46" s="35"/>
      <c r="C46" s="146">
        <f>C45+'Cyclops TH'!H42</f>
        <v>20.54496215319671</v>
      </c>
      <c r="D46" s="146">
        <f>D45</f>
        <v>55.88</v>
      </c>
      <c r="E46" s="38"/>
      <c r="F46" s="36">
        <f>IF('Cyclops TH'!$I$15="x",C46,$C$6)</f>
        <v>20.54496215319671</v>
      </c>
      <c r="G46" s="36">
        <f>IF('Cyclops TH'!$I$15="x",D46,$D$6)</f>
        <v>55.88</v>
      </c>
      <c r="H46" s="38"/>
      <c r="I46" s="37">
        <f t="shared" ref="I46:J49" si="6">C45-C46</f>
        <v>-20.54496215319671</v>
      </c>
      <c r="J46" s="37">
        <f t="shared" si="6"/>
        <v>0</v>
      </c>
      <c r="K46" s="37">
        <f>(I46^2+J46^2)^0.5</f>
        <v>20.54496215319671</v>
      </c>
      <c r="L46" s="37"/>
      <c r="M46" s="39"/>
      <c r="N46" s="12"/>
      <c r="O46" s="12"/>
      <c r="P46" s="12"/>
      <c r="Q46" s="12"/>
      <c r="R46" s="12"/>
      <c r="S46" s="12"/>
      <c r="T46" s="12"/>
      <c r="U46" s="12"/>
      <c r="V46" s="12"/>
    </row>
    <row r="47" spans="1:22" x14ac:dyDescent="0.2">
      <c r="A47" s="34"/>
      <c r="B47" s="35"/>
      <c r="C47" s="146">
        <f>C46</f>
        <v>20.54496215319671</v>
      </c>
      <c r="D47" s="146">
        <f>D46-'Cyclops TH'!$D$28</f>
        <v>53.975000000000001</v>
      </c>
      <c r="E47" s="38"/>
      <c r="F47" s="36">
        <f>IF('Cyclops TH'!$I$15="x",C47,$C$6)</f>
        <v>20.54496215319671</v>
      </c>
      <c r="G47" s="36">
        <f>IF('Cyclops TH'!$I$15="x",D47,$D$6)</f>
        <v>53.975000000000001</v>
      </c>
      <c r="H47" s="38"/>
      <c r="I47" s="37">
        <f t="shared" si="6"/>
        <v>0</v>
      </c>
      <c r="J47" s="37">
        <f t="shared" si="6"/>
        <v>1.9050000000000011</v>
      </c>
      <c r="K47" s="37">
        <f>(I47^2+J47^2)^0.5</f>
        <v>1.9050000000000011</v>
      </c>
      <c r="L47" s="37"/>
      <c r="M47" s="39"/>
      <c r="N47" s="12"/>
      <c r="O47" s="12"/>
      <c r="P47" s="12"/>
      <c r="Q47" s="12"/>
      <c r="R47" s="12"/>
      <c r="S47" s="12"/>
      <c r="T47" s="12"/>
      <c r="U47" s="12"/>
      <c r="V47" s="12"/>
    </row>
    <row r="48" spans="1:22" x14ac:dyDescent="0.2">
      <c r="A48" s="34"/>
      <c r="B48" s="35"/>
      <c r="C48" s="146">
        <f>C45</f>
        <v>0</v>
      </c>
      <c r="D48" s="146">
        <f>D47</f>
        <v>53.975000000000001</v>
      </c>
      <c r="E48" s="38"/>
      <c r="F48" s="36">
        <f>IF('Cyclops TH'!$I$15="x",C48,$C$6)</f>
        <v>0</v>
      </c>
      <c r="G48" s="36">
        <f>IF('Cyclops TH'!$I$15="x",D48,$D$6)</f>
        <v>53.975000000000001</v>
      </c>
      <c r="H48" s="38"/>
      <c r="I48" s="37">
        <f t="shared" si="6"/>
        <v>20.54496215319671</v>
      </c>
      <c r="J48" s="37">
        <f t="shared" si="6"/>
        <v>0</v>
      </c>
      <c r="K48" s="37">
        <f>(I48^2+J48^2)^0.5</f>
        <v>20.54496215319671</v>
      </c>
      <c r="L48" s="37"/>
      <c r="M48" s="39"/>
      <c r="N48" s="12"/>
      <c r="O48" s="12"/>
      <c r="P48" s="12"/>
      <c r="Q48" s="12"/>
      <c r="R48" s="12"/>
      <c r="S48" s="12"/>
      <c r="T48" s="12"/>
      <c r="U48" s="12"/>
      <c r="V48" s="12"/>
    </row>
    <row r="49" spans="1:22" x14ac:dyDescent="0.2">
      <c r="A49" s="46"/>
      <c r="B49" s="47"/>
      <c r="C49" s="147">
        <f>C45</f>
        <v>0</v>
      </c>
      <c r="D49" s="147">
        <f>D45</f>
        <v>55.88</v>
      </c>
      <c r="E49" s="83"/>
      <c r="F49" s="48">
        <f>IF('Cyclops TH'!$I$15="x",C49,$C$6)</f>
        <v>0</v>
      </c>
      <c r="G49" s="48">
        <f>IF('Cyclops TH'!$I$15="x",D49,$D$6)</f>
        <v>55.88</v>
      </c>
      <c r="H49" s="83"/>
      <c r="I49" s="49">
        <f t="shared" si="6"/>
        <v>0</v>
      </c>
      <c r="J49" s="49">
        <f t="shared" si="6"/>
        <v>-1.9050000000000011</v>
      </c>
      <c r="K49" s="49">
        <f>(I49^2+J49^2)^0.5</f>
        <v>1.9050000000000011</v>
      </c>
      <c r="L49" s="47"/>
      <c r="M49" s="50"/>
      <c r="N49" s="12"/>
      <c r="O49" s="12"/>
      <c r="P49" s="12"/>
      <c r="Q49" s="12"/>
      <c r="R49" s="12"/>
      <c r="S49" s="12"/>
      <c r="T49" s="12"/>
      <c r="U49" s="12"/>
      <c r="V49" s="12"/>
    </row>
    <row r="50" spans="1:22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x14ac:dyDescent="0.2">
      <c r="A51" s="90" t="str">
        <f>'Cyclops TH'!J16</f>
        <v>Panel F (baffle)</v>
      </c>
      <c r="B51" s="91"/>
      <c r="C51" s="92">
        <f>C21+('Cyclops TH'!H43-'Cyclops TH'!$D$28)/2</f>
        <v>81.437976345471327</v>
      </c>
      <c r="D51" s="92">
        <f>D22</f>
        <v>25.327303214400271</v>
      </c>
      <c r="E51" s="93"/>
      <c r="F51" s="94">
        <f>IF('Cyclops TH'!$I$16="x",C51,$C$6)</f>
        <v>81.437976345471327</v>
      </c>
      <c r="G51" s="94">
        <f>IF('Cyclops TH'!$I$16="x",D51,$D$6)</f>
        <v>25.327303214400271</v>
      </c>
      <c r="H51" s="93"/>
      <c r="I51" s="92"/>
      <c r="J51" s="92"/>
      <c r="K51" s="92"/>
      <c r="L51" s="92"/>
      <c r="M51" s="95"/>
      <c r="N51" s="12"/>
      <c r="O51" s="12"/>
      <c r="P51" s="12"/>
      <c r="Q51" s="12"/>
      <c r="R51" s="12"/>
      <c r="S51" s="12"/>
      <c r="T51" s="12"/>
      <c r="U51" s="12"/>
      <c r="V51" s="12"/>
    </row>
    <row r="52" spans="1:22" x14ac:dyDescent="0.2">
      <c r="A52" s="96"/>
      <c r="B52" s="97"/>
      <c r="C52" s="98">
        <f>C51</f>
        <v>81.437976345471327</v>
      </c>
      <c r="D52" s="98">
        <f>D51+'Cyclops TH'!$D$28</f>
        <v>27.232303214400272</v>
      </c>
      <c r="E52" s="97"/>
      <c r="F52" s="99">
        <f>IF('Cyclops TH'!$I$16="x",C52,$C$6)</f>
        <v>81.437976345471327</v>
      </c>
      <c r="G52" s="99">
        <f>IF('Cyclops TH'!$I$16="x",D52,$D$6)</f>
        <v>27.232303214400272</v>
      </c>
      <c r="H52" s="100"/>
      <c r="I52" s="101">
        <f t="shared" ref="I52:J55" si="7">C51-C52</f>
        <v>0</v>
      </c>
      <c r="J52" s="101">
        <f t="shared" si="7"/>
        <v>-1.9050000000000011</v>
      </c>
      <c r="K52" s="101">
        <f>(I52^2+J52^2)^0.5</f>
        <v>1.9050000000000011</v>
      </c>
      <c r="L52" s="101"/>
      <c r="M52" s="102"/>
      <c r="N52" s="12"/>
      <c r="O52" s="12"/>
      <c r="P52" s="12"/>
      <c r="Q52" s="12"/>
      <c r="R52" s="12"/>
      <c r="S52" s="12"/>
      <c r="T52" s="12"/>
      <c r="U52" s="12"/>
      <c r="V52" s="12"/>
    </row>
    <row r="53" spans="1:22" x14ac:dyDescent="0.2">
      <c r="A53" s="96"/>
      <c r="B53" s="97"/>
      <c r="C53" s="98">
        <f>C52-'Cyclops TH'!H43</f>
        <v>10.002023654528685</v>
      </c>
      <c r="D53" s="98">
        <f>D52</f>
        <v>27.232303214400272</v>
      </c>
      <c r="E53" s="97"/>
      <c r="F53" s="99">
        <f>IF('Cyclops TH'!$I$16="x",C53,$C$6)</f>
        <v>10.002023654528685</v>
      </c>
      <c r="G53" s="99">
        <f>IF('Cyclops TH'!$I$16="x",D53,$D$6)</f>
        <v>27.232303214400272</v>
      </c>
      <c r="H53" s="100"/>
      <c r="I53" s="101">
        <f t="shared" si="7"/>
        <v>71.435952690942642</v>
      </c>
      <c r="J53" s="101">
        <f t="shared" si="7"/>
        <v>0</v>
      </c>
      <c r="K53" s="101">
        <f>(I53^2+J53^2)^0.5</f>
        <v>71.435952690942642</v>
      </c>
      <c r="L53" s="101"/>
      <c r="M53" s="102"/>
      <c r="N53" s="12"/>
      <c r="O53" s="12"/>
      <c r="P53" s="12"/>
      <c r="Q53" s="12"/>
      <c r="R53" s="12"/>
      <c r="S53" s="12"/>
      <c r="T53" s="12"/>
      <c r="U53" s="12"/>
      <c r="V53" s="12"/>
    </row>
    <row r="54" spans="1:22" x14ac:dyDescent="0.2">
      <c r="A54" s="96"/>
      <c r="B54" s="97"/>
      <c r="C54" s="98">
        <f>C53</f>
        <v>10.002023654528685</v>
      </c>
      <c r="D54" s="98">
        <f>D53-'Cyclops TH'!$D$28</f>
        <v>25.327303214400271</v>
      </c>
      <c r="E54" s="97"/>
      <c r="F54" s="99">
        <f>IF('Cyclops TH'!$I$16="x",C54,$C$6)</f>
        <v>10.002023654528685</v>
      </c>
      <c r="G54" s="99">
        <f>IF('Cyclops TH'!$I$16="x",D54,$D$6)</f>
        <v>25.327303214400271</v>
      </c>
      <c r="H54" s="100"/>
      <c r="I54" s="101">
        <f t="shared" si="7"/>
        <v>0</v>
      </c>
      <c r="J54" s="101">
        <f t="shared" si="7"/>
        <v>1.9050000000000011</v>
      </c>
      <c r="K54" s="101">
        <f>(I54^2+J54^2)^0.5</f>
        <v>1.9050000000000011</v>
      </c>
      <c r="L54" s="101"/>
      <c r="M54" s="102"/>
      <c r="N54" s="12"/>
      <c r="O54" s="12"/>
      <c r="P54" s="12"/>
      <c r="Q54" s="12"/>
      <c r="R54" s="12"/>
      <c r="S54" s="12"/>
      <c r="T54" s="12"/>
      <c r="U54" s="12"/>
      <c r="V54" s="12"/>
    </row>
    <row r="55" spans="1:22" x14ac:dyDescent="0.2">
      <c r="A55" s="103"/>
      <c r="B55" s="104"/>
      <c r="C55" s="105">
        <f>C51</f>
        <v>81.437976345471327</v>
      </c>
      <c r="D55" s="105">
        <f>D51</f>
        <v>25.327303214400271</v>
      </c>
      <c r="E55" s="104"/>
      <c r="F55" s="106">
        <f>IF('Cyclops TH'!$I$16="x",C55,$C$6)</f>
        <v>81.437976345471327</v>
      </c>
      <c r="G55" s="106">
        <f>IF('Cyclops TH'!$I$16="x",D55,$D$6)</f>
        <v>25.327303214400271</v>
      </c>
      <c r="H55" s="104"/>
      <c r="I55" s="107">
        <f t="shared" si="7"/>
        <v>-71.435952690942642</v>
      </c>
      <c r="J55" s="107">
        <f t="shared" si="7"/>
        <v>0</v>
      </c>
      <c r="K55" s="107">
        <f>(I55^2+J55^2)^0.5</f>
        <v>71.435952690942642</v>
      </c>
      <c r="L55" s="104"/>
      <c r="M55" s="108"/>
      <c r="N55" s="12"/>
      <c r="O55" s="12"/>
      <c r="P55" s="12"/>
      <c r="Q55" s="12"/>
      <c r="R55" s="12"/>
      <c r="S55" s="12"/>
      <c r="T55" s="12"/>
      <c r="U55" s="12"/>
      <c r="V55" s="12"/>
    </row>
    <row r="56" spans="1:22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x14ac:dyDescent="0.2">
      <c r="A57" s="90" t="str">
        <f>'Cyclops TH'!J17</f>
        <v>Panel G</v>
      </c>
      <c r="B57" s="91"/>
      <c r="C57" s="92">
        <f>C51</f>
        <v>81.437976345471327</v>
      </c>
      <c r="D57" s="92">
        <f>D51</f>
        <v>25.327303214400271</v>
      </c>
      <c r="E57" s="93"/>
      <c r="F57" s="94">
        <f>IF('Cyclops TH'!$I$17="x",C57,$C$6)</f>
        <v>81.437976345471327</v>
      </c>
      <c r="G57" s="94">
        <f>IF('Cyclops TH'!$I$17="x",D57,$D$6)</f>
        <v>25.327303214400271</v>
      </c>
      <c r="H57" s="93"/>
      <c r="I57" s="92"/>
      <c r="J57" s="92"/>
      <c r="K57" s="92"/>
      <c r="L57" s="92"/>
      <c r="M57" s="95"/>
      <c r="N57" s="12"/>
      <c r="O57" s="12"/>
      <c r="P57" s="12"/>
      <c r="Q57" s="12"/>
      <c r="R57" s="12"/>
      <c r="S57" s="12"/>
      <c r="T57" s="12"/>
      <c r="U57" s="12"/>
      <c r="V57" s="12"/>
    </row>
    <row r="58" spans="1:22" x14ac:dyDescent="0.2">
      <c r="A58" s="96"/>
      <c r="B58" s="97"/>
      <c r="C58" s="98">
        <f>C57</f>
        <v>81.437976345471327</v>
      </c>
      <c r="D58" s="98">
        <f>D57-'Cyclops TH'!H44</f>
        <v>9.2052169264943409</v>
      </c>
      <c r="E58" s="97"/>
      <c r="F58" s="99">
        <f>IF('Cyclops TH'!$I$17="x",C58,$C$6)</f>
        <v>81.437976345471327</v>
      </c>
      <c r="G58" s="99">
        <f>IF('Cyclops TH'!$I$17="x",D58,$D$6)</f>
        <v>9.2052169264943409</v>
      </c>
      <c r="H58" s="100"/>
      <c r="I58" s="101">
        <f t="shared" ref="I58:J61" si="8">C57-C58</f>
        <v>0</v>
      </c>
      <c r="J58" s="101">
        <f t="shared" si="8"/>
        <v>16.12208628790593</v>
      </c>
      <c r="K58" s="101">
        <f>(I58^2+J58^2)^0.5</f>
        <v>16.12208628790593</v>
      </c>
      <c r="L58" s="101"/>
      <c r="M58" s="102"/>
      <c r="N58" s="12"/>
      <c r="O58" s="12"/>
      <c r="P58" s="12"/>
      <c r="Q58" s="12"/>
      <c r="R58" s="12"/>
      <c r="S58" s="12"/>
      <c r="T58" s="12"/>
      <c r="U58" s="12"/>
      <c r="V58" s="12"/>
    </row>
    <row r="59" spans="1:22" x14ac:dyDescent="0.2">
      <c r="A59" s="96"/>
      <c r="B59" s="97"/>
      <c r="C59" s="98">
        <f>C58-'Cyclops TH'!$D$28</f>
        <v>79.532976345471326</v>
      </c>
      <c r="D59" s="98">
        <f>D58</f>
        <v>9.2052169264943409</v>
      </c>
      <c r="E59" s="97"/>
      <c r="F59" s="99">
        <f>IF('Cyclops TH'!$I$17="x",C59,$C$6)</f>
        <v>79.532976345471326</v>
      </c>
      <c r="G59" s="99">
        <f>IF('Cyclops TH'!$I$17="x",D59,$D$6)</f>
        <v>9.2052169264943409</v>
      </c>
      <c r="H59" s="100"/>
      <c r="I59" s="101">
        <f t="shared" si="8"/>
        <v>1.9050000000000011</v>
      </c>
      <c r="J59" s="101">
        <f t="shared" si="8"/>
        <v>0</v>
      </c>
      <c r="K59" s="101">
        <f>(I59^2+J59^2)^0.5</f>
        <v>1.9050000000000011</v>
      </c>
      <c r="L59" s="101"/>
      <c r="M59" s="102"/>
      <c r="N59" s="12"/>
      <c r="O59" s="12"/>
      <c r="P59" s="12"/>
      <c r="Q59" s="12"/>
      <c r="R59" s="12"/>
      <c r="S59" s="12"/>
      <c r="T59" s="12"/>
      <c r="U59" s="12"/>
      <c r="V59" s="12"/>
    </row>
    <row r="60" spans="1:22" x14ac:dyDescent="0.2">
      <c r="A60" s="96"/>
      <c r="B60" s="97"/>
      <c r="C60" s="98">
        <f>C59</f>
        <v>79.532976345471326</v>
      </c>
      <c r="D60" s="98">
        <f>D57</f>
        <v>25.327303214400271</v>
      </c>
      <c r="E60" s="97"/>
      <c r="F60" s="99">
        <f>IF('Cyclops TH'!$I$17="x",C60,$C$6)</f>
        <v>79.532976345471326</v>
      </c>
      <c r="G60" s="99">
        <f>IF('Cyclops TH'!$I$17="x",D60,$D$6)</f>
        <v>25.327303214400271</v>
      </c>
      <c r="H60" s="100"/>
      <c r="I60" s="101">
        <f t="shared" si="8"/>
        <v>0</v>
      </c>
      <c r="J60" s="101">
        <f t="shared" si="8"/>
        <v>-16.12208628790593</v>
      </c>
      <c r="K60" s="101">
        <f>(I60^2+J60^2)^0.5</f>
        <v>16.12208628790593</v>
      </c>
      <c r="L60" s="101"/>
      <c r="M60" s="102"/>
      <c r="N60" s="12"/>
      <c r="O60" s="12"/>
      <c r="P60" s="12"/>
      <c r="Q60" s="12"/>
      <c r="R60" s="12"/>
      <c r="S60" s="12"/>
      <c r="T60" s="12"/>
      <c r="U60" s="12"/>
      <c r="V60" s="12"/>
    </row>
    <row r="61" spans="1:22" x14ac:dyDescent="0.2">
      <c r="A61" s="103"/>
      <c r="B61" s="104"/>
      <c r="C61" s="105">
        <f>C57</f>
        <v>81.437976345471327</v>
      </c>
      <c r="D61" s="105">
        <f>D57</f>
        <v>25.327303214400271</v>
      </c>
      <c r="E61" s="104"/>
      <c r="F61" s="106">
        <f>IF('Cyclops TH'!$I$17="x",C61,$C$6)</f>
        <v>81.437976345471327</v>
      </c>
      <c r="G61" s="106">
        <f>IF('Cyclops TH'!$I$17="x",D61,$D$6)</f>
        <v>25.327303214400271</v>
      </c>
      <c r="H61" s="104"/>
      <c r="I61" s="107">
        <f t="shared" si="8"/>
        <v>-1.9050000000000011</v>
      </c>
      <c r="J61" s="107">
        <f t="shared" si="8"/>
        <v>0</v>
      </c>
      <c r="K61" s="107">
        <f>(I61^2+J61^2)^0.5</f>
        <v>1.9050000000000011</v>
      </c>
      <c r="L61" s="104"/>
      <c r="M61" s="108"/>
      <c r="N61" s="12"/>
      <c r="O61" s="12"/>
      <c r="P61" s="12"/>
      <c r="Q61" s="12"/>
      <c r="R61" s="12"/>
      <c r="S61" s="12"/>
      <c r="T61" s="12"/>
      <c r="U61" s="12"/>
      <c r="V61" s="12"/>
    </row>
    <row r="62" spans="1:22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x14ac:dyDescent="0.2">
      <c r="A63" s="90" t="str">
        <f>A57</f>
        <v>Panel G</v>
      </c>
      <c r="B63" s="91"/>
      <c r="C63" s="92">
        <f>C54</f>
        <v>10.002023654528685</v>
      </c>
      <c r="D63" s="92">
        <f>D60</f>
        <v>25.327303214400271</v>
      </c>
      <c r="E63" s="93"/>
      <c r="F63" s="94">
        <f>IF('Cyclops TH'!$I$17="x",C63,$C$6)</f>
        <v>10.002023654528685</v>
      </c>
      <c r="G63" s="94">
        <f>IF('Cyclops TH'!$I$17="x",D63,$D$6)</f>
        <v>25.327303214400271</v>
      </c>
      <c r="H63" s="93"/>
      <c r="I63" s="92"/>
      <c r="J63" s="92"/>
      <c r="K63" s="92"/>
      <c r="L63" s="92"/>
      <c r="M63" s="95"/>
      <c r="N63" s="12"/>
      <c r="O63" s="12"/>
      <c r="P63" s="12"/>
      <c r="Q63" s="12"/>
      <c r="R63" s="12"/>
      <c r="S63" s="12"/>
      <c r="T63" s="12"/>
      <c r="U63" s="12"/>
      <c r="V63" s="12"/>
    </row>
    <row r="64" spans="1:22" x14ac:dyDescent="0.2">
      <c r="A64" s="96"/>
      <c r="B64" s="97"/>
      <c r="C64" s="98">
        <f>C63</f>
        <v>10.002023654528685</v>
      </c>
      <c r="D64" s="98">
        <f>D63-'Cyclops TH'!H44</f>
        <v>9.2052169264943409</v>
      </c>
      <c r="E64" s="97"/>
      <c r="F64" s="99">
        <f>IF('Cyclops TH'!$I$17="x",C64,$C$6)</f>
        <v>10.002023654528685</v>
      </c>
      <c r="G64" s="99">
        <f>IF('Cyclops TH'!$I$17="x",D64,$D$6)</f>
        <v>9.2052169264943409</v>
      </c>
      <c r="H64" s="100"/>
      <c r="I64" s="101">
        <f t="shared" ref="I64:J67" si="9">C63-C64</f>
        <v>0</v>
      </c>
      <c r="J64" s="101">
        <f t="shared" si="9"/>
        <v>16.12208628790593</v>
      </c>
      <c r="K64" s="101">
        <f>(I64^2+J64^2)^0.5</f>
        <v>16.12208628790593</v>
      </c>
      <c r="L64" s="101"/>
      <c r="M64" s="102"/>
      <c r="N64" s="12"/>
      <c r="O64" s="12"/>
      <c r="P64" s="12"/>
      <c r="Q64" s="12"/>
      <c r="R64" s="12"/>
      <c r="S64" s="12"/>
      <c r="T64" s="12"/>
      <c r="U64" s="12"/>
      <c r="V64" s="12"/>
    </row>
    <row r="65" spans="1:22" x14ac:dyDescent="0.2">
      <c r="A65" s="96"/>
      <c r="B65" s="97"/>
      <c r="C65" s="98">
        <f>C64+'Cyclops TH'!$D$28</f>
        <v>11.907023654528684</v>
      </c>
      <c r="D65" s="98">
        <f>D64</f>
        <v>9.2052169264943409</v>
      </c>
      <c r="E65" s="97"/>
      <c r="F65" s="99">
        <f>IF('Cyclops TH'!$I$17="x",C65,$C$6)</f>
        <v>11.907023654528684</v>
      </c>
      <c r="G65" s="99">
        <f>IF('Cyclops TH'!$I$17="x",D65,$D$6)</f>
        <v>9.2052169264943409</v>
      </c>
      <c r="H65" s="100"/>
      <c r="I65" s="101">
        <f t="shared" si="9"/>
        <v>-1.9049999999999994</v>
      </c>
      <c r="J65" s="101">
        <f t="shared" si="9"/>
        <v>0</v>
      </c>
      <c r="K65" s="101">
        <f>(I65^2+J65^2)^0.5</f>
        <v>1.9049999999999994</v>
      </c>
      <c r="L65" s="101"/>
      <c r="M65" s="102"/>
      <c r="N65" s="12"/>
      <c r="O65" s="12"/>
      <c r="P65" s="12"/>
      <c r="Q65" s="12"/>
      <c r="R65" s="12"/>
      <c r="S65" s="12"/>
      <c r="T65" s="12"/>
      <c r="U65" s="12"/>
      <c r="V65" s="12"/>
    </row>
    <row r="66" spans="1:22" x14ac:dyDescent="0.2">
      <c r="A66" s="96"/>
      <c r="B66" s="97"/>
      <c r="C66" s="98">
        <f>C65</f>
        <v>11.907023654528684</v>
      </c>
      <c r="D66" s="98">
        <f>D63</f>
        <v>25.327303214400271</v>
      </c>
      <c r="E66" s="97"/>
      <c r="F66" s="99">
        <f>IF('Cyclops TH'!$I$17="x",C66,$C$6)</f>
        <v>11.907023654528684</v>
      </c>
      <c r="G66" s="99">
        <f>IF('Cyclops TH'!$I$17="x",D66,$D$6)</f>
        <v>25.327303214400271</v>
      </c>
      <c r="H66" s="100"/>
      <c r="I66" s="101">
        <f t="shared" si="9"/>
        <v>0</v>
      </c>
      <c r="J66" s="101">
        <f t="shared" si="9"/>
        <v>-16.12208628790593</v>
      </c>
      <c r="K66" s="101">
        <f>(I66^2+J66^2)^0.5</f>
        <v>16.12208628790593</v>
      </c>
      <c r="L66" s="101"/>
      <c r="M66" s="102"/>
      <c r="N66" s="12"/>
      <c r="O66" s="12"/>
      <c r="P66" s="12"/>
      <c r="Q66" s="12"/>
      <c r="R66" s="12"/>
      <c r="S66" s="12"/>
      <c r="T66" s="12"/>
      <c r="U66" s="12"/>
      <c r="V66" s="12"/>
    </row>
    <row r="67" spans="1:22" x14ac:dyDescent="0.2">
      <c r="A67" s="103"/>
      <c r="B67" s="104"/>
      <c r="C67" s="105">
        <f>C63</f>
        <v>10.002023654528685</v>
      </c>
      <c r="D67" s="105">
        <f>D63</f>
        <v>25.327303214400271</v>
      </c>
      <c r="E67" s="104"/>
      <c r="F67" s="106">
        <f>IF('Cyclops TH'!$I$17="x",C67,$C$6)</f>
        <v>10.002023654528685</v>
      </c>
      <c r="G67" s="106">
        <f>IF('Cyclops TH'!$I$17="x",D67,$D$6)</f>
        <v>25.327303214400271</v>
      </c>
      <c r="H67" s="104"/>
      <c r="I67" s="107">
        <f t="shared" si="9"/>
        <v>1.9049999999999994</v>
      </c>
      <c r="J67" s="107">
        <f t="shared" si="9"/>
        <v>0</v>
      </c>
      <c r="K67" s="107">
        <f>(I67^2+J67^2)^0.5</f>
        <v>1.9049999999999994</v>
      </c>
      <c r="L67" s="104"/>
      <c r="M67" s="108"/>
      <c r="N67" s="12"/>
      <c r="O67" s="12"/>
      <c r="P67" s="12"/>
      <c r="Q67" s="12"/>
      <c r="R67" s="12"/>
      <c r="S67" s="12"/>
      <c r="T67" s="12"/>
      <c r="U67" s="12"/>
      <c r="V67" s="12"/>
    </row>
    <row r="68" spans="1:22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x14ac:dyDescent="0.2">
      <c r="A69" s="90" t="str">
        <f>'Cyclops TH'!J18</f>
        <v>Panel H</v>
      </c>
      <c r="B69" s="91"/>
      <c r="C69" s="92">
        <f>C59</f>
        <v>79.532976345471326</v>
      </c>
      <c r="D69" s="92">
        <f>D59</f>
        <v>9.2052169264943409</v>
      </c>
      <c r="E69" s="93"/>
      <c r="F69" s="94">
        <f>IF('Cyclops TH'!$I$18="x",C69,$C$6)</f>
        <v>79.532976345471326</v>
      </c>
      <c r="G69" s="94">
        <f>IF('Cyclops TH'!$I$18="x",D69,$D$6)</f>
        <v>9.2052169264943409</v>
      </c>
      <c r="H69" s="93"/>
      <c r="I69" s="92"/>
      <c r="J69" s="92"/>
      <c r="K69" s="92"/>
      <c r="L69" s="92"/>
      <c r="M69" s="95"/>
      <c r="N69" s="12"/>
      <c r="O69" s="12"/>
      <c r="P69" s="12"/>
      <c r="Q69" s="12"/>
      <c r="R69" s="12"/>
      <c r="S69" s="12"/>
      <c r="T69" s="12"/>
      <c r="U69" s="12"/>
      <c r="V69" s="12"/>
    </row>
    <row r="70" spans="1:22" x14ac:dyDescent="0.2">
      <c r="A70" s="96"/>
      <c r="B70" s="97"/>
      <c r="C70" s="98">
        <f>C69-'Cyclops TH'!H45</f>
        <v>53.559309717331395</v>
      </c>
      <c r="D70" s="98">
        <f>D69</f>
        <v>9.2052169264943409</v>
      </c>
      <c r="E70" s="97"/>
      <c r="F70" s="99">
        <f>IF('Cyclops TH'!$I$18="x",C70,$C$6)</f>
        <v>53.559309717331395</v>
      </c>
      <c r="G70" s="99">
        <f>IF('Cyclops TH'!$I$18="x",D70,$D$6)</f>
        <v>9.2052169264943409</v>
      </c>
      <c r="H70" s="100"/>
      <c r="I70" s="101">
        <f t="shared" ref="I70:J73" si="10">C69-C70</f>
        <v>25.973666628139931</v>
      </c>
      <c r="J70" s="101">
        <f t="shared" si="10"/>
        <v>0</v>
      </c>
      <c r="K70" s="101">
        <f>(I70^2+J70^2)^0.5</f>
        <v>25.973666628139931</v>
      </c>
      <c r="L70" s="101"/>
      <c r="M70" s="102"/>
      <c r="N70" s="12"/>
      <c r="O70" s="12"/>
      <c r="P70" s="12"/>
      <c r="Q70" s="12"/>
      <c r="R70" s="12"/>
      <c r="S70" s="12"/>
      <c r="T70" s="12"/>
      <c r="U70" s="12"/>
      <c r="V70" s="12"/>
    </row>
    <row r="71" spans="1:22" x14ac:dyDescent="0.2">
      <c r="A71" s="96"/>
      <c r="B71" s="97"/>
      <c r="C71" s="98">
        <f>C70</f>
        <v>53.559309717331395</v>
      </c>
      <c r="D71" s="98">
        <f>D70+'Cyclops TH'!$D$28</f>
        <v>11.11021692649434</v>
      </c>
      <c r="E71" s="97"/>
      <c r="F71" s="99">
        <f>IF('Cyclops TH'!$I$18="x",C71,$C$6)</f>
        <v>53.559309717331395</v>
      </c>
      <c r="G71" s="99">
        <f>IF('Cyclops TH'!$I$18="x",D71,$D$6)</f>
        <v>11.11021692649434</v>
      </c>
      <c r="H71" s="100"/>
      <c r="I71" s="101">
        <f t="shared" si="10"/>
        <v>0</v>
      </c>
      <c r="J71" s="101">
        <f t="shared" si="10"/>
        <v>-1.9049999999999994</v>
      </c>
      <c r="K71" s="101">
        <f>(I71^2+J71^2)^0.5</f>
        <v>1.9049999999999994</v>
      </c>
      <c r="L71" s="101"/>
      <c r="M71" s="102"/>
      <c r="N71" s="12"/>
      <c r="O71" s="12"/>
      <c r="P71" s="12"/>
      <c r="Q71" s="12"/>
      <c r="R71" s="12"/>
      <c r="S71" s="12"/>
      <c r="T71" s="12"/>
      <c r="U71" s="12"/>
      <c r="V71" s="12"/>
    </row>
    <row r="72" spans="1:22" x14ac:dyDescent="0.2">
      <c r="A72" s="96"/>
      <c r="B72" s="97"/>
      <c r="C72" s="98">
        <f>C69</f>
        <v>79.532976345471326</v>
      </c>
      <c r="D72" s="98">
        <f>D69+'Cyclops TH'!$D$28</f>
        <v>11.11021692649434</v>
      </c>
      <c r="E72" s="97"/>
      <c r="F72" s="99">
        <f>IF('Cyclops TH'!$I$18="x",C72,$C$6)</f>
        <v>79.532976345471326</v>
      </c>
      <c r="G72" s="99">
        <f>IF('Cyclops TH'!$I$18="x",D72,$D$6)</f>
        <v>11.11021692649434</v>
      </c>
      <c r="H72" s="100"/>
      <c r="I72" s="101">
        <f t="shared" si="10"/>
        <v>-25.973666628139931</v>
      </c>
      <c r="J72" s="101">
        <f t="shared" si="10"/>
        <v>0</v>
      </c>
      <c r="K72" s="101">
        <f>(I72^2+J72^2)^0.5</f>
        <v>25.973666628139931</v>
      </c>
      <c r="L72" s="101"/>
      <c r="M72" s="102"/>
      <c r="N72" s="12"/>
      <c r="O72" s="12"/>
      <c r="P72" s="12"/>
      <c r="Q72" s="12"/>
      <c r="R72" s="12"/>
      <c r="S72" s="12"/>
      <c r="T72" s="12"/>
      <c r="U72" s="12"/>
      <c r="V72" s="12"/>
    </row>
    <row r="73" spans="1:22" x14ac:dyDescent="0.2">
      <c r="A73" s="103"/>
      <c r="B73" s="104"/>
      <c r="C73" s="105">
        <f>C69</f>
        <v>79.532976345471326</v>
      </c>
      <c r="D73" s="105">
        <f>D69</f>
        <v>9.2052169264943409</v>
      </c>
      <c r="E73" s="104"/>
      <c r="F73" s="106">
        <f>IF('Cyclops TH'!$I$18="x",C73,$C$6)</f>
        <v>79.532976345471326</v>
      </c>
      <c r="G73" s="106">
        <f>IF('Cyclops TH'!$I$18="x",D73,$D$6)</f>
        <v>9.2052169264943409</v>
      </c>
      <c r="H73" s="104"/>
      <c r="I73" s="107">
        <f t="shared" si="10"/>
        <v>0</v>
      </c>
      <c r="J73" s="107">
        <f t="shared" si="10"/>
        <v>1.9049999999999994</v>
      </c>
      <c r="K73" s="107">
        <f>(I73^2+J73^2)^0.5</f>
        <v>1.9049999999999994</v>
      </c>
      <c r="L73" s="104"/>
      <c r="M73" s="108"/>
      <c r="N73" s="12"/>
      <c r="O73" s="12"/>
      <c r="P73" s="12"/>
      <c r="Q73" s="12"/>
      <c r="R73" s="12"/>
      <c r="S73" s="12"/>
      <c r="T73" s="12"/>
      <c r="U73" s="12"/>
      <c r="V73" s="12"/>
    </row>
    <row r="74" spans="1:22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x14ac:dyDescent="0.2">
      <c r="A75" s="90" t="str">
        <f>A69</f>
        <v>Panel H</v>
      </c>
      <c r="B75" s="91"/>
      <c r="C75" s="92">
        <f>C65</f>
        <v>11.907023654528684</v>
      </c>
      <c r="D75" s="92">
        <f>D65</f>
        <v>9.2052169264943409</v>
      </c>
      <c r="E75" s="93"/>
      <c r="F75" s="94">
        <f>IF('Cyclops TH'!$I$18="x",C75,$C$6)</f>
        <v>11.907023654528684</v>
      </c>
      <c r="G75" s="94">
        <f>IF('Cyclops TH'!$I$18="x",D75,$D$6)</f>
        <v>9.2052169264943409</v>
      </c>
      <c r="H75" s="93"/>
      <c r="I75" s="92"/>
      <c r="J75" s="92"/>
      <c r="K75" s="92"/>
      <c r="L75" s="92"/>
      <c r="M75" s="95"/>
      <c r="N75" s="12"/>
      <c r="O75" s="12"/>
      <c r="P75" s="12"/>
      <c r="Q75" s="12"/>
      <c r="R75" s="12"/>
      <c r="S75" s="12"/>
      <c r="T75" s="12"/>
      <c r="U75" s="12"/>
      <c r="V75" s="12"/>
    </row>
    <row r="76" spans="1:22" x14ac:dyDescent="0.2">
      <c r="A76" s="96"/>
      <c r="B76" s="97"/>
      <c r="C76" s="98">
        <f>C75+'Cyclops TH'!H45</f>
        <v>37.880690282668617</v>
      </c>
      <c r="D76" s="98">
        <f>D75</f>
        <v>9.2052169264943409</v>
      </c>
      <c r="E76" s="97"/>
      <c r="F76" s="99">
        <f>IF('Cyclops TH'!$I$18="x",C76,$C$6)</f>
        <v>37.880690282668617</v>
      </c>
      <c r="G76" s="99">
        <f>IF('Cyclops TH'!$I$18="x",D76,$D$6)</f>
        <v>9.2052169264943409</v>
      </c>
      <c r="H76" s="100"/>
      <c r="I76" s="101">
        <f t="shared" ref="I76:J79" si="11">C75-C76</f>
        <v>-25.973666628139931</v>
      </c>
      <c r="J76" s="101">
        <f t="shared" si="11"/>
        <v>0</v>
      </c>
      <c r="K76" s="101">
        <f>(I76^2+J76^2)^0.5</f>
        <v>25.973666628139931</v>
      </c>
      <c r="L76" s="101"/>
      <c r="M76" s="102"/>
      <c r="N76" s="12"/>
      <c r="O76" s="12"/>
      <c r="P76" s="12"/>
      <c r="Q76" s="12"/>
      <c r="R76" s="12"/>
      <c r="S76" s="12"/>
      <c r="T76" s="12"/>
      <c r="U76" s="12"/>
      <c r="V76" s="12"/>
    </row>
    <row r="77" spans="1:22" x14ac:dyDescent="0.2">
      <c r="A77" s="96"/>
      <c r="B77" s="97"/>
      <c r="C77" s="98">
        <f>C76-'Cyclops TH'!$D$28*'Cyclops TH'!P9</f>
        <v>37.880690282668617</v>
      </c>
      <c r="D77" s="98">
        <f>D76+'Cyclops TH'!$D$28</f>
        <v>11.11021692649434</v>
      </c>
      <c r="E77" s="97"/>
      <c r="F77" s="99">
        <f>IF('Cyclops TH'!$I$18="x",C77,$C$6)</f>
        <v>37.880690282668617</v>
      </c>
      <c r="G77" s="99">
        <f>IF('Cyclops TH'!$I$18="x",D77,$D$6)</f>
        <v>11.11021692649434</v>
      </c>
      <c r="H77" s="100"/>
      <c r="I77" s="101">
        <f t="shared" si="11"/>
        <v>0</v>
      </c>
      <c r="J77" s="101">
        <f t="shared" si="11"/>
        <v>-1.9049999999999994</v>
      </c>
      <c r="K77" s="101">
        <f>(I77^2+J77^2)^0.5</f>
        <v>1.9049999999999994</v>
      </c>
      <c r="L77" s="101"/>
      <c r="M77" s="102"/>
      <c r="N77" s="12"/>
      <c r="O77" s="12"/>
      <c r="P77" s="12"/>
      <c r="Q77" s="12"/>
      <c r="R77" s="12"/>
      <c r="S77" s="12"/>
      <c r="T77" s="12"/>
      <c r="U77" s="12"/>
      <c r="V77" s="12"/>
    </row>
    <row r="78" spans="1:22" x14ac:dyDescent="0.2">
      <c r="A78" s="96"/>
      <c r="B78" s="97"/>
      <c r="C78" s="98">
        <f>C75-'Cyclops TH'!$D$28*'Cyclops TH'!P9</f>
        <v>11.907023654528684</v>
      </c>
      <c r="D78" s="98">
        <f>D77</f>
        <v>11.11021692649434</v>
      </c>
      <c r="E78" s="97"/>
      <c r="F78" s="99">
        <f>IF('Cyclops TH'!$I$18="x",C78,$C$6)</f>
        <v>11.907023654528684</v>
      </c>
      <c r="G78" s="99">
        <f>IF('Cyclops TH'!$I$18="x",D78,$D$6)</f>
        <v>11.11021692649434</v>
      </c>
      <c r="H78" s="100"/>
      <c r="I78" s="101">
        <f t="shared" si="11"/>
        <v>25.973666628139931</v>
      </c>
      <c r="J78" s="101">
        <f t="shared" si="11"/>
        <v>0</v>
      </c>
      <c r="K78" s="101">
        <f>(I78^2+J78^2)^0.5</f>
        <v>25.973666628139931</v>
      </c>
      <c r="L78" s="101"/>
      <c r="M78" s="102"/>
      <c r="N78" s="12"/>
      <c r="O78" s="12"/>
      <c r="P78" s="12"/>
      <c r="Q78" s="12"/>
      <c r="R78" s="12"/>
      <c r="S78" s="12"/>
      <c r="T78" s="12"/>
      <c r="U78" s="12"/>
      <c r="V78" s="12"/>
    </row>
    <row r="79" spans="1:22" x14ac:dyDescent="0.2">
      <c r="A79" s="103"/>
      <c r="B79" s="104"/>
      <c r="C79" s="105">
        <f>C75</f>
        <v>11.907023654528684</v>
      </c>
      <c r="D79" s="105">
        <f>D75</f>
        <v>9.2052169264943409</v>
      </c>
      <c r="E79" s="104"/>
      <c r="F79" s="106">
        <f>IF('Cyclops TH'!$I$18="x",C79,$C$6)</f>
        <v>11.907023654528684</v>
      </c>
      <c r="G79" s="106">
        <f>IF('Cyclops TH'!$I$18="x",D79,$D$6)</f>
        <v>9.2052169264943409</v>
      </c>
      <c r="H79" s="104"/>
      <c r="I79" s="107">
        <f t="shared" si="11"/>
        <v>0</v>
      </c>
      <c r="J79" s="107">
        <f t="shared" si="11"/>
        <v>1.9049999999999994</v>
      </c>
      <c r="K79" s="107">
        <f>(I79^2+J79^2)^0.5</f>
        <v>1.9049999999999994</v>
      </c>
      <c r="L79" s="104"/>
      <c r="M79" s="108"/>
      <c r="N79" s="12"/>
      <c r="O79" s="12"/>
      <c r="P79" s="12"/>
      <c r="Q79" s="12"/>
      <c r="R79" s="12"/>
      <c r="S79" s="12"/>
      <c r="T79" s="12"/>
      <c r="U79" s="12"/>
      <c r="V79" s="12"/>
    </row>
    <row r="80" spans="1:22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x14ac:dyDescent="0.2">
      <c r="A81" s="90" t="str">
        <f>'Cyclops TH'!J19</f>
        <v>Panel I</v>
      </c>
      <c r="B81" s="111"/>
      <c r="C81" s="112">
        <f>C53+'Cyclops TH'!H47</f>
        <v>10.375862741798592</v>
      </c>
      <c r="D81" s="112">
        <f>D53</f>
        <v>27.232303214400272</v>
      </c>
      <c r="E81" s="113"/>
      <c r="F81" s="114">
        <f>IF('Cyclops TH'!$I$19="x",C81,$C$6)</f>
        <v>10.375862741798592</v>
      </c>
      <c r="G81" s="114">
        <f>IF('Cyclops TH'!$I$19="x",D81,$D$6)</f>
        <v>27.232303214400272</v>
      </c>
      <c r="H81" s="113"/>
      <c r="I81" s="112"/>
      <c r="J81" s="112"/>
      <c r="K81" s="112"/>
      <c r="L81" s="112"/>
      <c r="M81" s="115"/>
      <c r="N81" s="12"/>
      <c r="O81" s="12"/>
      <c r="P81" s="12"/>
      <c r="Q81" s="12"/>
      <c r="R81" s="12"/>
      <c r="S81" s="12"/>
      <c r="T81" s="12"/>
      <c r="U81" s="12"/>
      <c r="V81" s="12"/>
    </row>
    <row r="82" spans="1:22" x14ac:dyDescent="0.2">
      <c r="A82" s="116"/>
      <c r="B82" s="117"/>
      <c r="C82" s="118">
        <f>C81+'Cyclops TH'!$H$35</f>
        <v>10.375862741798592</v>
      </c>
      <c r="D82" s="118">
        <f>D47-('Cyclops TH'!D13/'Cyclops TH'!D46)/2</f>
        <v>45.313582677165357</v>
      </c>
      <c r="E82" s="119"/>
      <c r="F82" s="120">
        <f>IF('Cyclops TH'!$I$19="x",C82,$C$6)</f>
        <v>10.375862741798592</v>
      </c>
      <c r="G82" s="120">
        <f>IF('Cyclops TH'!$I$19="x",D82,$D$6)</f>
        <v>45.313582677165357</v>
      </c>
      <c r="H82" s="119"/>
      <c r="I82" s="118">
        <f t="shared" ref="I82:J85" si="12">C81-C82</f>
        <v>0</v>
      </c>
      <c r="J82" s="118">
        <f t="shared" si="12"/>
        <v>-18.081279462765085</v>
      </c>
      <c r="K82" s="118">
        <f>(I82^2+J82^2)^0.5</f>
        <v>18.081279462765085</v>
      </c>
      <c r="L82" s="118"/>
      <c r="M82" s="121"/>
      <c r="N82" s="12"/>
      <c r="O82" s="12"/>
      <c r="P82" s="12"/>
      <c r="Q82" s="12"/>
      <c r="R82" s="12"/>
      <c r="S82" s="12"/>
      <c r="T82" s="12"/>
      <c r="U82" s="12"/>
      <c r="V82" s="12"/>
    </row>
    <row r="83" spans="1:22" x14ac:dyDescent="0.2">
      <c r="A83" s="116"/>
      <c r="B83" s="117"/>
      <c r="C83" s="118">
        <f>C82+'Cyclops TH'!$D$28</f>
        <v>12.280862741798591</v>
      </c>
      <c r="D83" s="118">
        <f>D82</f>
        <v>45.313582677165357</v>
      </c>
      <c r="E83" s="119"/>
      <c r="F83" s="120">
        <f>IF('Cyclops TH'!$I$19="x",C83,$C$6)</f>
        <v>12.280862741798591</v>
      </c>
      <c r="G83" s="120">
        <f>IF('Cyclops TH'!$I$19="x",D83,$D$6)</f>
        <v>45.313582677165357</v>
      </c>
      <c r="H83" s="119"/>
      <c r="I83" s="118">
        <f t="shared" si="12"/>
        <v>-1.9049999999999994</v>
      </c>
      <c r="J83" s="118">
        <f t="shared" si="12"/>
        <v>0</v>
      </c>
      <c r="K83" s="118">
        <f>(I83^2+J83^2)^0.5</f>
        <v>1.9049999999999994</v>
      </c>
      <c r="L83" s="118"/>
      <c r="M83" s="121"/>
      <c r="N83" s="12"/>
      <c r="O83" s="12"/>
      <c r="P83" s="12"/>
      <c r="Q83" s="12"/>
      <c r="R83" s="12"/>
      <c r="S83" s="12"/>
      <c r="T83" s="12"/>
      <c r="U83" s="12"/>
      <c r="V83" s="12"/>
    </row>
    <row r="84" spans="1:22" x14ac:dyDescent="0.2">
      <c r="A84" s="116"/>
      <c r="B84" s="117"/>
      <c r="C84" s="118">
        <f>C83</f>
        <v>12.280862741798591</v>
      </c>
      <c r="D84" s="118">
        <f>D81</f>
        <v>27.232303214400272</v>
      </c>
      <c r="E84" s="119"/>
      <c r="F84" s="120">
        <f>IF('Cyclops TH'!$I$19="x",C84,$C$6)</f>
        <v>12.280862741798591</v>
      </c>
      <c r="G84" s="120">
        <f>IF('Cyclops TH'!$I$19="x",D84,$D$6)</f>
        <v>27.232303214400272</v>
      </c>
      <c r="H84" s="119"/>
      <c r="I84" s="118">
        <f t="shared" si="12"/>
        <v>0</v>
      </c>
      <c r="J84" s="118">
        <f t="shared" si="12"/>
        <v>18.081279462765085</v>
      </c>
      <c r="K84" s="118">
        <f>(I84^2+J84^2)^0.5</f>
        <v>18.081279462765085</v>
      </c>
      <c r="L84" s="118"/>
      <c r="M84" s="121"/>
      <c r="N84" s="12"/>
      <c r="O84" s="12"/>
      <c r="P84" s="12"/>
      <c r="Q84" s="12"/>
      <c r="R84" s="12"/>
      <c r="S84" s="12"/>
      <c r="T84" s="12"/>
      <c r="U84" s="12"/>
      <c r="V84" s="12"/>
    </row>
    <row r="85" spans="1:22" x14ac:dyDescent="0.2">
      <c r="A85" s="122"/>
      <c r="B85" s="123"/>
      <c r="C85" s="124">
        <f>C81</f>
        <v>10.375862741798592</v>
      </c>
      <c r="D85" s="124">
        <f>D81</f>
        <v>27.232303214400272</v>
      </c>
      <c r="E85" s="123"/>
      <c r="F85" s="125">
        <f>IF('Cyclops TH'!$I$19="x",C85,$C$6)</f>
        <v>10.375862741798592</v>
      </c>
      <c r="G85" s="125">
        <f>IF('Cyclops TH'!$I$19="x",D85,$D$6)</f>
        <v>27.232303214400272</v>
      </c>
      <c r="H85" s="123"/>
      <c r="I85" s="126">
        <f t="shared" si="12"/>
        <v>1.9049999999999994</v>
      </c>
      <c r="J85" s="126">
        <f t="shared" si="12"/>
        <v>0</v>
      </c>
      <c r="K85" s="126">
        <f>(I85^2+J85^2)^0.5</f>
        <v>1.9049999999999994</v>
      </c>
      <c r="L85" s="123"/>
      <c r="M85" s="127"/>
      <c r="N85" s="12"/>
      <c r="O85" s="12"/>
      <c r="P85" s="12"/>
      <c r="Q85" s="12"/>
      <c r="R85" s="12"/>
      <c r="S85" s="12"/>
      <c r="T85" s="12"/>
      <c r="U85" s="12"/>
      <c r="V85" s="12"/>
    </row>
    <row r="86" spans="1:22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x14ac:dyDescent="0.2">
      <c r="A87" s="90" t="str">
        <f>A81</f>
        <v>Panel I</v>
      </c>
      <c r="B87" s="111"/>
      <c r="C87" s="112">
        <f>C81+'Cyclops TH'!H43-'Cyclops TH'!D28-2*'Cyclops TH'!H47</f>
        <v>79.159137258201426</v>
      </c>
      <c r="D87" s="112">
        <f>D81</f>
        <v>27.232303214400272</v>
      </c>
      <c r="E87" s="113"/>
      <c r="F87" s="114">
        <f>IF('Cyclops TH'!$I$19="x",C87,$C$6)</f>
        <v>79.159137258201426</v>
      </c>
      <c r="G87" s="114">
        <f>IF('Cyclops TH'!$I$19="x",D87,$D$6)</f>
        <v>27.232303214400272</v>
      </c>
      <c r="H87" s="113"/>
      <c r="I87" s="112"/>
      <c r="J87" s="112"/>
      <c r="K87" s="112"/>
      <c r="L87" s="112"/>
      <c r="M87" s="115"/>
      <c r="N87" s="12"/>
      <c r="O87" s="12"/>
      <c r="P87" s="12"/>
      <c r="Q87" s="12"/>
      <c r="R87" s="12"/>
      <c r="S87" s="12"/>
      <c r="T87" s="12"/>
      <c r="U87" s="12"/>
      <c r="V87" s="12"/>
    </row>
    <row r="88" spans="1:22" x14ac:dyDescent="0.2">
      <c r="A88" s="116"/>
      <c r="B88" s="117"/>
      <c r="C88" s="118">
        <f>C87+'Cyclops TH'!$H$35</f>
        <v>79.159137258201426</v>
      </c>
      <c r="D88" s="118">
        <f>D82</f>
        <v>45.313582677165357</v>
      </c>
      <c r="E88" s="119"/>
      <c r="F88" s="120">
        <f>IF('Cyclops TH'!$I$19="x",C88,$C$6)</f>
        <v>79.159137258201426</v>
      </c>
      <c r="G88" s="120">
        <f>IF('Cyclops TH'!$I$19="x",D88,$D$6)</f>
        <v>45.313582677165357</v>
      </c>
      <c r="H88" s="119"/>
      <c r="I88" s="118">
        <f t="shared" ref="I88:J91" si="13">C87-C88</f>
        <v>0</v>
      </c>
      <c r="J88" s="118">
        <f t="shared" si="13"/>
        <v>-18.081279462765085</v>
      </c>
      <c r="K88" s="118">
        <f>(I88^2+J88^2)^0.5</f>
        <v>18.081279462765085</v>
      </c>
      <c r="L88" s="118"/>
      <c r="M88" s="121"/>
      <c r="N88" s="12"/>
      <c r="O88" s="12"/>
      <c r="P88" s="12"/>
      <c r="Q88" s="12"/>
      <c r="R88" s="12"/>
      <c r="S88" s="12"/>
      <c r="T88" s="12"/>
      <c r="U88" s="12"/>
      <c r="V88" s="12"/>
    </row>
    <row r="89" spans="1:22" x14ac:dyDescent="0.2">
      <c r="A89" s="116"/>
      <c r="B89" s="117"/>
      <c r="C89" s="118">
        <f>C88+'Cyclops TH'!$D$28</f>
        <v>81.064137258201427</v>
      </c>
      <c r="D89" s="118">
        <f t="shared" ref="D89:D90" si="14">D83</f>
        <v>45.313582677165357</v>
      </c>
      <c r="E89" s="119"/>
      <c r="F89" s="120">
        <f>IF('Cyclops TH'!$I$19="x",C89,$C$6)</f>
        <v>81.064137258201427</v>
      </c>
      <c r="G89" s="120">
        <f>IF('Cyclops TH'!$I$19="x",D89,$D$6)</f>
        <v>45.313582677165357</v>
      </c>
      <c r="H89" s="119"/>
      <c r="I89" s="118">
        <f t="shared" si="13"/>
        <v>-1.9050000000000011</v>
      </c>
      <c r="J89" s="118">
        <f t="shared" si="13"/>
        <v>0</v>
      </c>
      <c r="K89" s="118">
        <f>(I89^2+J89^2)^0.5</f>
        <v>1.9050000000000011</v>
      </c>
      <c r="L89" s="118"/>
      <c r="M89" s="121"/>
      <c r="N89" s="12"/>
      <c r="O89" s="12"/>
      <c r="P89" s="12"/>
      <c r="Q89" s="12"/>
      <c r="R89" s="12"/>
      <c r="S89" s="12"/>
      <c r="T89" s="12"/>
      <c r="U89" s="12"/>
      <c r="V89" s="12"/>
    </row>
    <row r="90" spans="1:22" x14ac:dyDescent="0.2">
      <c r="A90" s="116"/>
      <c r="B90" s="117"/>
      <c r="C90" s="118">
        <f>C89</f>
        <v>81.064137258201427</v>
      </c>
      <c r="D90" s="118">
        <f t="shared" si="14"/>
        <v>27.232303214400272</v>
      </c>
      <c r="E90" s="119"/>
      <c r="F90" s="120">
        <f>IF('Cyclops TH'!$I$19="x",C90,$C$6)</f>
        <v>81.064137258201427</v>
      </c>
      <c r="G90" s="120">
        <f>IF('Cyclops TH'!$I$19="x",D90,$D$6)</f>
        <v>27.232303214400272</v>
      </c>
      <c r="H90" s="119"/>
      <c r="I90" s="118">
        <f t="shared" si="13"/>
        <v>0</v>
      </c>
      <c r="J90" s="118">
        <f t="shared" si="13"/>
        <v>18.081279462765085</v>
      </c>
      <c r="K90" s="118">
        <f>(I90^2+J90^2)^0.5</f>
        <v>18.081279462765085</v>
      </c>
      <c r="L90" s="118"/>
      <c r="M90" s="121"/>
      <c r="N90" s="12"/>
      <c r="O90" s="12"/>
      <c r="P90" s="12"/>
      <c r="Q90" s="12"/>
      <c r="R90" s="12"/>
      <c r="S90" s="12"/>
      <c r="T90" s="12"/>
      <c r="U90" s="12"/>
      <c r="V90" s="12"/>
    </row>
    <row r="91" spans="1:22" x14ac:dyDescent="0.2">
      <c r="A91" s="122"/>
      <c r="B91" s="123"/>
      <c r="C91" s="124">
        <f>C87</f>
        <v>79.159137258201426</v>
      </c>
      <c r="D91" s="124">
        <f>D85</f>
        <v>27.232303214400272</v>
      </c>
      <c r="E91" s="123"/>
      <c r="F91" s="125">
        <f>IF('Cyclops TH'!$I$19="x",C91,$C$6)</f>
        <v>79.159137258201426</v>
      </c>
      <c r="G91" s="125">
        <f>IF('Cyclops TH'!$I$19="x",D91,$D$6)</f>
        <v>27.232303214400272</v>
      </c>
      <c r="H91" s="123"/>
      <c r="I91" s="126">
        <f t="shared" si="13"/>
        <v>1.9050000000000011</v>
      </c>
      <c r="J91" s="126">
        <f t="shared" si="13"/>
        <v>0</v>
      </c>
      <c r="K91" s="126">
        <f>(I91^2+J91^2)^0.5</f>
        <v>1.9050000000000011</v>
      </c>
      <c r="L91" s="123"/>
      <c r="M91" s="127"/>
      <c r="N91" s="12"/>
      <c r="O91" s="12"/>
      <c r="P91" s="12"/>
      <c r="Q91" s="12"/>
      <c r="R91" s="12"/>
      <c r="S91" s="12"/>
      <c r="T91" s="12"/>
      <c r="U91" s="12"/>
      <c r="V91" s="12"/>
    </row>
    <row r="92" spans="1:22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x14ac:dyDescent="0.2">
      <c r="A93" s="90" t="str">
        <f>'Cyclops TH'!J20</f>
        <v>Panel J</v>
      </c>
      <c r="B93" s="111"/>
      <c r="C93" s="112">
        <f>C40-'Cyclops TH'!$D$28*P10</f>
        <v>69.048638407941738</v>
      </c>
      <c r="D93" s="112">
        <f>D40+'Cyclops TH'!$D$28*Q10</f>
        <v>56.348864705615327</v>
      </c>
      <c r="E93" s="113"/>
      <c r="F93" s="114">
        <f>IF('Cyclops TH'!$I$20="x",C93,$C$6)</f>
        <v>69.048638407941738</v>
      </c>
      <c r="G93" s="114">
        <f>IF('Cyclops TH'!$I$20="x",D93,$D$6)</f>
        <v>56.348864705615327</v>
      </c>
      <c r="H93" s="113"/>
      <c r="I93" s="112"/>
      <c r="J93" s="112"/>
      <c r="K93" s="112"/>
      <c r="L93" s="112"/>
      <c r="M93" s="115"/>
      <c r="N93" s="12"/>
      <c r="O93" s="12"/>
      <c r="P93" s="12"/>
      <c r="Q93" s="12"/>
      <c r="R93" s="12"/>
      <c r="S93" s="12"/>
      <c r="T93" s="12"/>
      <c r="U93" s="12"/>
      <c r="V93" s="12"/>
    </row>
    <row r="94" spans="1:22" x14ac:dyDescent="0.2">
      <c r="A94" s="116"/>
      <c r="B94" s="117"/>
      <c r="C94" s="118">
        <f>C93-'Cyclops TH'!H48*Q10</f>
        <v>65.569409334347171</v>
      </c>
      <c r="D94" s="118">
        <f>D93-'Cyclops TH'!H48*P10</f>
        <v>42.647584715420635</v>
      </c>
      <c r="E94" s="119"/>
      <c r="F94" s="120">
        <f>IF('Cyclops TH'!$I$20="x",C94,$C$6)</f>
        <v>65.569409334347171</v>
      </c>
      <c r="G94" s="120">
        <f>IF('Cyclops TH'!$I$20="x",D94,$D$6)</f>
        <v>42.647584715420635</v>
      </c>
      <c r="H94" s="119"/>
      <c r="I94" s="118">
        <f t="shared" ref="I94:J97" si="15">C93-C94</f>
        <v>3.479229073594567</v>
      </c>
      <c r="J94" s="118">
        <f t="shared" si="15"/>
        <v>13.701279990194692</v>
      </c>
      <c r="K94" s="118">
        <f>(I94^2+J94^2)^0.5</f>
        <v>14.136127769522146</v>
      </c>
      <c r="L94" s="118"/>
      <c r="M94" s="121"/>
      <c r="N94" s="12"/>
      <c r="O94" s="12"/>
      <c r="P94" s="12"/>
      <c r="Q94" s="12"/>
      <c r="R94" s="12"/>
      <c r="S94" s="12"/>
      <c r="T94" s="12"/>
      <c r="U94" s="12"/>
      <c r="V94" s="12"/>
    </row>
    <row r="95" spans="1:22" x14ac:dyDescent="0.2">
      <c r="A95" s="116"/>
      <c r="B95" s="117"/>
      <c r="C95" s="118">
        <f>C94+'Cyclops TH'!$D$28*P10</f>
        <v>67.415808773208724</v>
      </c>
      <c r="D95" s="118">
        <f>D94-'Cyclops TH'!$D$28*Q10</f>
        <v>42.178720009805311</v>
      </c>
      <c r="E95" s="119"/>
      <c r="F95" s="120">
        <f>IF('Cyclops TH'!$I$20="x",C95,$C$6)</f>
        <v>67.415808773208724</v>
      </c>
      <c r="G95" s="120">
        <f>IF('Cyclops TH'!$I$20="x",D95,$D$6)</f>
        <v>42.178720009805311</v>
      </c>
      <c r="H95" s="119"/>
      <c r="I95" s="118">
        <f t="shared" si="15"/>
        <v>-1.8463994388615532</v>
      </c>
      <c r="J95" s="118">
        <f t="shared" si="15"/>
        <v>0.46886470561532434</v>
      </c>
      <c r="K95" s="118">
        <f>(I95^2+J95^2)^0.5</f>
        <v>1.9050000000000009</v>
      </c>
      <c r="L95" s="118"/>
      <c r="M95" s="121"/>
      <c r="N95" s="12"/>
      <c r="O95" s="12"/>
      <c r="P95" s="12"/>
      <c r="Q95" s="12"/>
      <c r="R95" s="12"/>
      <c r="S95" s="12"/>
      <c r="T95" s="12"/>
      <c r="U95" s="12"/>
      <c r="V95" s="12"/>
    </row>
    <row r="96" spans="1:22" x14ac:dyDescent="0.2">
      <c r="A96" s="116"/>
      <c r="B96" s="117"/>
      <c r="C96" s="118">
        <f>C95+'Cyclops TH'!H48*Q10</f>
        <v>70.895037846803291</v>
      </c>
      <c r="D96" s="118">
        <f>D95+'Cyclops TH'!H48*P10</f>
        <v>55.88</v>
      </c>
      <c r="E96" s="119"/>
      <c r="F96" s="120">
        <f>IF('Cyclops TH'!$I$20="x",C96,$C$6)</f>
        <v>70.895037846803291</v>
      </c>
      <c r="G96" s="120">
        <f>IF('Cyclops TH'!$I$20="x",D96,$D$6)</f>
        <v>55.88</v>
      </c>
      <c r="H96" s="119"/>
      <c r="I96" s="118">
        <f t="shared" si="15"/>
        <v>-3.479229073594567</v>
      </c>
      <c r="J96" s="118">
        <f t="shared" si="15"/>
        <v>-13.701279990194692</v>
      </c>
      <c r="K96" s="118">
        <f>(I96^2+J96^2)^0.5</f>
        <v>14.136127769522146</v>
      </c>
      <c r="L96" s="118"/>
      <c r="M96" s="121"/>
      <c r="N96" s="12"/>
      <c r="O96" s="12"/>
      <c r="P96" s="12"/>
      <c r="Q96" s="12"/>
      <c r="R96" s="12"/>
      <c r="S96" s="12"/>
      <c r="T96" s="12"/>
      <c r="U96" s="12"/>
      <c r="V96" s="12"/>
    </row>
    <row r="97" spans="1:22" x14ac:dyDescent="0.2">
      <c r="A97" s="122"/>
      <c r="B97" s="123"/>
      <c r="C97" s="124">
        <f>C93</f>
        <v>69.048638407941738</v>
      </c>
      <c r="D97" s="124">
        <f>D93</f>
        <v>56.348864705615327</v>
      </c>
      <c r="E97" s="123"/>
      <c r="F97" s="125">
        <f>IF('Cyclops TH'!$I$20="x",C97,$C$6)</f>
        <v>69.048638407941738</v>
      </c>
      <c r="G97" s="125">
        <f>IF('Cyclops TH'!$I$20="x",D97,$D$6)</f>
        <v>56.348864705615327</v>
      </c>
      <c r="H97" s="123"/>
      <c r="I97" s="126">
        <f t="shared" si="15"/>
        <v>1.8463994388615532</v>
      </c>
      <c r="J97" s="126">
        <f t="shared" si="15"/>
        <v>-0.46886470561532434</v>
      </c>
      <c r="K97" s="126">
        <f>(I97^2+J97^2)^0.5</f>
        <v>1.9050000000000009</v>
      </c>
      <c r="L97" s="123"/>
      <c r="M97" s="127"/>
      <c r="N97" s="12"/>
      <c r="O97" s="12"/>
      <c r="P97" s="12"/>
      <c r="Q97" s="12"/>
      <c r="R97" s="12"/>
      <c r="S97" s="12"/>
      <c r="T97" s="12"/>
      <c r="U97" s="12"/>
      <c r="V97" s="12"/>
    </row>
    <row r="98" spans="1:22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x14ac:dyDescent="0.2">
      <c r="A99" s="90" t="str">
        <f>A93</f>
        <v>Panel J</v>
      </c>
      <c r="B99" s="111"/>
      <c r="C99" s="112">
        <f>C46+'Cyclops TH'!D28*P10</f>
        <v>22.391361592058264</v>
      </c>
      <c r="D99" s="112">
        <f>D46+'Cyclops TH'!D28*Q10</f>
        <v>56.348864705615327</v>
      </c>
      <c r="E99" s="113"/>
      <c r="F99" s="114">
        <f>IF('Cyclops TH'!$I$20="x",C99,$C$6)</f>
        <v>22.391361592058264</v>
      </c>
      <c r="G99" s="114">
        <f>IF('Cyclops TH'!$I$20="x",D99,$D$6)</f>
        <v>56.348864705615327</v>
      </c>
      <c r="H99" s="113"/>
      <c r="I99" s="112"/>
      <c r="J99" s="112"/>
      <c r="K99" s="112"/>
      <c r="L99" s="112"/>
      <c r="M99" s="115"/>
      <c r="N99" s="12"/>
      <c r="O99" s="12"/>
      <c r="P99" s="12"/>
      <c r="Q99" s="12"/>
      <c r="R99" s="12"/>
      <c r="S99" s="12"/>
      <c r="T99" s="12"/>
      <c r="U99" s="12"/>
      <c r="V99" s="12"/>
    </row>
    <row r="100" spans="1:22" x14ac:dyDescent="0.2">
      <c r="A100" s="116"/>
      <c r="B100" s="117"/>
      <c r="C100" s="118">
        <f>C99+'Cyclops TH'!H48*Q10</f>
        <v>25.870590665652824</v>
      </c>
      <c r="D100" s="118">
        <f>D99-'Cyclops TH'!H48*P10</f>
        <v>42.647584715420635</v>
      </c>
      <c r="E100" s="119"/>
      <c r="F100" s="120">
        <f>IF('Cyclops TH'!$I$20="x",C100,$C$6)</f>
        <v>25.870590665652824</v>
      </c>
      <c r="G100" s="120">
        <f>IF('Cyclops TH'!$I$20="x",D100,$D$6)</f>
        <v>42.647584715420635</v>
      </c>
      <c r="H100" s="119"/>
      <c r="I100" s="118">
        <f t="shared" ref="I100:J103" si="16">C99-C100</f>
        <v>-3.4792290735945599</v>
      </c>
      <c r="J100" s="118">
        <f t="shared" si="16"/>
        <v>13.701279990194692</v>
      </c>
      <c r="K100" s="118">
        <f>(I100^2+J100^2)^0.5</f>
        <v>14.136127769522144</v>
      </c>
      <c r="L100" s="118"/>
      <c r="M100" s="121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x14ac:dyDescent="0.2">
      <c r="A101" s="116"/>
      <c r="B101" s="117"/>
      <c r="C101" s="118">
        <f>C100-'Cyclops TH'!$D$28*P10</f>
        <v>24.02419122679127</v>
      </c>
      <c r="D101" s="118">
        <f>D100-'Cyclops TH'!$D$28*Q10</f>
        <v>42.178720009805311</v>
      </c>
      <c r="E101" s="119"/>
      <c r="F101" s="120">
        <f>IF('Cyclops TH'!$I$20="x",C101,$C$6)</f>
        <v>24.02419122679127</v>
      </c>
      <c r="G101" s="120">
        <f>IF('Cyclops TH'!$I$20="x",D101,$D$6)</f>
        <v>42.178720009805311</v>
      </c>
      <c r="H101" s="119"/>
      <c r="I101" s="118">
        <f t="shared" si="16"/>
        <v>1.8463994388615532</v>
      </c>
      <c r="J101" s="118">
        <f t="shared" si="16"/>
        <v>0.46886470561532434</v>
      </c>
      <c r="K101" s="118">
        <f>(I101^2+J101^2)^0.5</f>
        <v>1.9050000000000009</v>
      </c>
      <c r="L101" s="118"/>
      <c r="M101" s="121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x14ac:dyDescent="0.2">
      <c r="A102" s="116"/>
      <c r="B102" s="117"/>
      <c r="C102" s="118">
        <f>C101-'Cyclops TH'!H48*Q10</f>
        <v>20.54496215319671</v>
      </c>
      <c r="D102" s="118">
        <f>D101+'Cyclops TH'!H48*P10</f>
        <v>55.88</v>
      </c>
      <c r="E102" s="119"/>
      <c r="F102" s="120">
        <f>IF('Cyclops TH'!$I$20="x",C102,$C$6)</f>
        <v>20.54496215319671</v>
      </c>
      <c r="G102" s="120">
        <f>IF('Cyclops TH'!$I$20="x",D102,$D$6)</f>
        <v>55.88</v>
      </c>
      <c r="H102" s="119"/>
      <c r="I102" s="118">
        <f t="shared" si="16"/>
        <v>3.4792290735945599</v>
      </c>
      <c r="J102" s="118">
        <f t="shared" si="16"/>
        <v>-13.701279990194692</v>
      </c>
      <c r="K102" s="118">
        <f>(I102^2+J102^2)^0.5</f>
        <v>14.136127769522144</v>
      </c>
      <c r="L102" s="118"/>
      <c r="M102" s="121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x14ac:dyDescent="0.2">
      <c r="A103" s="122"/>
      <c r="B103" s="123"/>
      <c r="C103" s="124">
        <f>C99</f>
        <v>22.391361592058264</v>
      </c>
      <c r="D103" s="124">
        <f>D97</f>
        <v>56.348864705615327</v>
      </c>
      <c r="E103" s="123"/>
      <c r="F103" s="125">
        <f>IF('Cyclops TH'!$I$20="x",C103,$C$6)</f>
        <v>22.391361592058264</v>
      </c>
      <c r="G103" s="125">
        <f>IF('Cyclops TH'!$I$20="x",D103,$D$6)</f>
        <v>56.348864705615327</v>
      </c>
      <c r="H103" s="123"/>
      <c r="I103" s="126">
        <f t="shared" si="16"/>
        <v>-1.8463994388615532</v>
      </c>
      <c r="J103" s="126">
        <f t="shared" si="16"/>
        <v>-0.46886470561532434</v>
      </c>
      <c r="K103" s="126">
        <f>(I103^2+J103^2)^0.5</f>
        <v>1.9050000000000009</v>
      </c>
      <c r="L103" s="123"/>
      <c r="M103" s="127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x14ac:dyDescent="0.2">
      <c r="A105" s="90" t="str">
        <f>'Cyclops TH'!J21</f>
        <v>Panel K</v>
      </c>
      <c r="B105" s="111"/>
      <c r="C105" s="112">
        <f>C22</f>
        <v>46.672499999999999</v>
      </c>
      <c r="D105" s="112">
        <f>D22-'Cyclops TH'!H50</f>
        <v>19.539974008811463</v>
      </c>
      <c r="E105" s="113"/>
      <c r="F105" s="114">
        <f>IF('Cyclops TH'!$I$21="x",C105,$C$6)</f>
        <v>46.672499999999999</v>
      </c>
      <c r="G105" s="114">
        <f>IF('Cyclops TH'!$I$21="x",D105,$D$6)</f>
        <v>19.539974008811463</v>
      </c>
      <c r="H105" s="113"/>
      <c r="I105" s="112"/>
      <c r="J105" s="112"/>
      <c r="K105" s="112"/>
      <c r="L105" s="112"/>
      <c r="M105" s="115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x14ac:dyDescent="0.2">
      <c r="A106" s="116"/>
      <c r="B106" s="117"/>
      <c r="C106" s="118">
        <f>C105+'Cyclops TH'!H49</f>
        <v>73.324892342112136</v>
      </c>
      <c r="D106" s="118">
        <f>D105</f>
        <v>19.539974008811463</v>
      </c>
      <c r="E106" s="119"/>
      <c r="F106" s="120">
        <f>IF('Cyclops TH'!$I$21="x",C106,$C$6)</f>
        <v>73.324892342112136</v>
      </c>
      <c r="G106" s="120">
        <f>IF('Cyclops TH'!$I$21="x",D106,$D$6)</f>
        <v>19.539974008811463</v>
      </c>
      <c r="H106" s="119"/>
      <c r="I106" s="118">
        <f t="shared" ref="I106:J109" si="17">C105-C106</f>
        <v>-26.652392342112137</v>
      </c>
      <c r="J106" s="118">
        <f t="shared" si="17"/>
        <v>0</v>
      </c>
      <c r="K106" s="118">
        <f>(I106^2+J106^2)^0.5</f>
        <v>26.652392342112137</v>
      </c>
      <c r="L106" s="118"/>
      <c r="M106" s="121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x14ac:dyDescent="0.2">
      <c r="A107" s="116"/>
      <c r="B107" s="117"/>
      <c r="C107" s="118">
        <f>C106</f>
        <v>73.324892342112136</v>
      </c>
      <c r="D107" s="118">
        <f>D106-'Cyclops TH'!$D$28</f>
        <v>17.634974008811461</v>
      </c>
      <c r="E107" s="119"/>
      <c r="F107" s="120">
        <f>IF('Cyclops TH'!$I$21="x",C107,$C$6)</f>
        <v>73.324892342112136</v>
      </c>
      <c r="G107" s="120">
        <f>IF('Cyclops TH'!$I$21="x",D107,$D$6)</f>
        <v>17.634974008811461</v>
      </c>
      <c r="H107" s="119"/>
      <c r="I107" s="118">
        <f t="shared" si="17"/>
        <v>0</v>
      </c>
      <c r="J107" s="118">
        <f t="shared" si="17"/>
        <v>1.9050000000000011</v>
      </c>
      <c r="K107" s="118">
        <f>(I107^2+J107^2)^0.5</f>
        <v>1.9050000000000011</v>
      </c>
      <c r="L107" s="118"/>
      <c r="M107" s="121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x14ac:dyDescent="0.2">
      <c r="A108" s="116"/>
      <c r="B108" s="117"/>
      <c r="C108" s="118">
        <f>C105</f>
        <v>46.672499999999999</v>
      </c>
      <c r="D108" s="118">
        <f>D107</f>
        <v>17.634974008811461</v>
      </c>
      <c r="E108" s="119"/>
      <c r="F108" s="120">
        <f>IF('Cyclops TH'!$I$21="x",C108,$C$6)</f>
        <v>46.672499999999999</v>
      </c>
      <c r="G108" s="120">
        <f>IF('Cyclops TH'!$I$21="x",D108,$D$6)</f>
        <v>17.634974008811461</v>
      </c>
      <c r="H108" s="119"/>
      <c r="I108" s="118">
        <f t="shared" si="17"/>
        <v>26.652392342112137</v>
      </c>
      <c r="J108" s="118">
        <f t="shared" si="17"/>
        <v>0</v>
      </c>
      <c r="K108" s="118">
        <f>(I108^2+J108^2)^0.5</f>
        <v>26.652392342112137</v>
      </c>
      <c r="L108" s="118"/>
      <c r="M108" s="121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x14ac:dyDescent="0.2">
      <c r="A109" s="122"/>
      <c r="B109" s="123"/>
      <c r="C109" s="124">
        <f>C105</f>
        <v>46.672499999999999</v>
      </c>
      <c r="D109" s="124">
        <f>D105</f>
        <v>19.539974008811463</v>
      </c>
      <c r="E109" s="123"/>
      <c r="F109" s="125">
        <f>IF('Cyclops TH'!$I$21="x",C109,$C$6)</f>
        <v>46.672499999999999</v>
      </c>
      <c r="G109" s="125">
        <f>IF('Cyclops TH'!$I$21="x",D109,$D$6)</f>
        <v>19.539974008811463</v>
      </c>
      <c r="H109" s="123"/>
      <c r="I109" s="126">
        <f t="shared" si="17"/>
        <v>0</v>
      </c>
      <c r="J109" s="126">
        <f t="shared" si="17"/>
        <v>-1.9050000000000011</v>
      </c>
      <c r="K109" s="126">
        <f>(I109^2+J109^2)^0.5</f>
        <v>1.9050000000000011</v>
      </c>
      <c r="L109" s="123"/>
      <c r="M109" s="127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x14ac:dyDescent="0.2">
      <c r="A111" s="90" t="str">
        <f>A105</f>
        <v>Panel K</v>
      </c>
      <c r="B111" s="111"/>
      <c r="C111" s="112">
        <f>C23</f>
        <v>44.767499999999998</v>
      </c>
      <c r="D111" s="112">
        <f>D23-'Cyclops TH'!H50</f>
        <v>19.539974008811463</v>
      </c>
      <c r="E111" s="113"/>
      <c r="F111" s="114">
        <f>IF('Cyclops TH'!$I$21="x",C111,$C$6)</f>
        <v>44.767499999999998</v>
      </c>
      <c r="G111" s="114">
        <f>IF('Cyclops TH'!$I$21="x",D111,$D$6)</f>
        <v>19.539974008811463</v>
      </c>
      <c r="H111" s="113"/>
      <c r="I111" s="112"/>
      <c r="J111" s="112"/>
      <c r="K111" s="112"/>
      <c r="L111" s="112"/>
      <c r="M111" s="115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x14ac:dyDescent="0.2">
      <c r="A112" s="116"/>
      <c r="B112" s="117"/>
      <c r="C112" s="118">
        <f>C111-'Cyclops TH'!H49</f>
        <v>18.115107657887858</v>
      </c>
      <c r="D112" s="118">
        <f>D111</f>
        <v>19.539974008811463</v>
      </c>
      <c r="E112" s="119"/>
      <c r="F112" s="120">
        <f>IF('Cyclops TH'!$I$21="x",C112,$C$6)</f>
        <v>18.115107657887858</v>
      </c>
      <c r="G112" s="120">
        <f>IF('Cyclops TH'!$I$21="x",D112,$D$6)</f>
        <v>19.539974008811463</v>
      </c>
      <c r="H112" s="119"/>
      <c r="I112" s="118">
        <f t="shared" ref="I112:J115" si="18">C111-C112</f>
        <v>26.65239234211214</v>
      </c>
      <c r="J112" s="118">
        <f t="shared" si="18"/>
        <v>0</v>
      </c>
      <c r="K112" s="118">
        <f>(I112^2+J112^2)^0.5</f>
        <v>26.65239234211214</v>
      </c>
      <c r="L112" s="118"/>
      <c r="M112" s="121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x14ac:dyDescent="0.2">
      <c r="A113" s="116"/>
      <c r="B113" s="117"/>
      <c r="C113" s="118">
        <f>C112</f>
        <v>18.115107657887858</v>
      </c>
      <c r="D113" s="118">
        <f>D112-'Cyclops TH'!$D$28</f>
        <v>17.634974008811461</v>
      </c>
      <c r="E113" s="119"/>
      <c r="F113" s="120">
        <f>IF('Cyclops TH'!$I$21="x",C113,$C$6)</f>
        <v>18.115107657887858</v>
      </c>
      <c r="G113" s="120">
        <f>IF('Cyclops TH'!$I$21="x",D113,$D$6)</f>
        <v>17.634974008811461</v>
      </c>
      <c r="H113" s="119"/>
      <c r="I113" s="118">
        <f t="shared" si="18"/>
        <v>0</v>
      </c>
      <c r="J113" s="118">
        <f t="shared" si="18"/>
        <v>1.9050000000000011</v>
      </c>
      <c r="K113" s="118">
        <f>(I113^2+J113^2)^0.5</f>
        <v>1.9050000000000011</v>
      </c>
      <c r="L113" s="118"/>
      <c r="M113" s="121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x14ac:dyDescent="0.2">
      <c r="A114" s="116"/>
      <c r="B114" s="117"/>
      <c r="C114" s="118">
        <f>C111</f>
        <v>44.767499999999998</v>
      </c>
      <c r="D114" s="118">
        <f>D113</f>
        <v>17.634974008811461</v>
      </c>
      <c r="E114" s="119"/>
      <c r="F114" s="120">
        <f>IF('Cyclops TH'!$I$21="x",C114,$C$6)</f>
        <v>44.767499999999998</v>
      </c>
      <c r="G114" s="120">
        <f>IF('Cyclops TH'!$I$21="x",D114,$D$6)</f>
        <v>17.634974008811461</v>
      </c>
      <c r="H114" s="119"/>
      <c r="I114" s="118">
        <f t="shared" si="18"/>
        <v>-26.65239234211214</v>
      </c>
      <c r="J114" s="118">
        <f t="shared" si="18"/>
        <v>0</v>
      </c>
      <c r="K114" s="118">
        <f>(I114^2+J114^2)^0.5</f>
        <v>26.65239234211214</v>
      </c>
      <c r="L114" s="118"/>
      <c r="M114" s="121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x14ac:dyDescent="0.2">
      <c r="A115" s="122"/>
      <c r="B115" s="123"/>
      <c r="C115" s="124">
        <f>C111</f>
        <v>44.767499999999998</v>
      </c>
      <c r="D115" s="124">
        <f>D111</f>
        <v>19.539974008811463</v>
      </c>
      <c r="E115" s="123"/>
      <c r="F115" s="125">
        <f>IF('Cyclops TH'!$I$21="x",C115,$C$6)</f>
        <v>44.767499999999998</v>
      </c>
      <c r="G115" s="125">
        <f>IF('Cyclops TH'!$I$21="x",D115,$D$6)</f>
        <v>19.539974008811463</v>
      </c>
      <c r="H115" s="123"/>
      <c r="I115" s="126">
        <f t="shared" si="18"/>
        <v>0</v>
      </c>
      <c r="J115" s="126">
        <f t="shared" si="18"/>
        <v>-1.9050000000000011</v>
      </c>
      <c r="K115" s="126">
        <f>(I115^2+J115^2)^0.5</f>
        <v>1.9050000000000011</v>
      </c>
      <c r="L115" s="123"/>
      <c r="M115" s="127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x14ac:dyDescent="0.2">
      <c r="A117" s="131" t="s">
        <v>74</v>
      </c>
      <c r="B117" s="132"/>
      <c r="C117" s="133">
        <f>(C28+C27)/2</f>
        <v>45.72</v>
      </c>
      <c r="D117" s="133">
        <f>D52</f>
        <v>27.232303214400272</v>
      </c>
      <c r="E117" s="134"/>
      <c r="F117" s="135">
        <f>C117</f>
        <v>45.72</v>
      </c>
      <c r="G117" s="135">
        <f>D117</f>
        <v>27.232303214400272</v>
      </c>
      <c r="H117" s="134"/>
      <c r="I117" s="133"/>
      <c r="J117" s="133"/>
      <c r="K117" s="133"/>
      <c r="L117" s="133"/>
      <c r="M117" s="136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x14ac:dyDescent="0.2">
      <c r="A118" s="137"/>
      <c r="B118" s="138"/>
      <c r="C118" s="139">
        <f>C117</f>
        <v>45.72</v>
      </c>
      <c r="D118" s="139">
        <f>D27</f>
        <v>55.88</v>
      </c>
      <c r="E118" s="138"/>
      <c r="F118" s="140">
        <f>C118</f>
        <v>45.72</v>
      </c>
      <c r="G118" s="140">
        <f>D118</f>
        <v>55.88</v>
      </c>
      <c r="H118" s="138"/>
      <c r="I118" s="141"/>
      <c r="J118" s="141"/>
      <c r="K118" s="141"/>
      <c r="L118" s="138"/>
      <c r="M118" s="14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x14ac:dyDescent="0.2">
      <c r="A120" s="131" t="s">
        <v>71</v>
      </c>
      <c r="B120" s="132"/>
      <c r="C120" s="133">
        <f>C29</f>
        <v>0</v>
      </c>
      <c r="D120" s="133">
        <f>D29</f>
        <v>0</v>
      </c>
      <c r="E120" s="134"/>
      <c r="F120" s="135">
        <f>C120</f>
        <v>0</v>
      </c>
      <c r="G120" s="135">
        <f>D120</f>
        <v>0</v>
      </c>
      <c r="H120" s="134"/>
      <c r="I120" s="133"/>
      <c r="J120" s="133"/>
      <c r="K120" s="133"/>
      <c r="L120" s="133"/>
      <c r="M120" s="136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x14ac:dyDescent="0.2">
      <c r="A121" s="137"/>
      <c r="B121" s="138"/>
      <c r="C121" s="139">
        <f>C120</f>
        <v>0</v>
      </c>
      <c r="D121" s="139">
        <f>MAX(C9:D49)</f>
        <v>91.44</v>
      </c>
      <c r="E121" s="138"/>
      <c r="F121" s="140">
        <f>C121</f>
        <v>0</v>
      </c>
      <c r="G121" s="140">
        <f>D121</f>
        <v>91.44</v>
      </c>
      <c r="H121" s="138"/>
      <c r="I121" s="141"/>
      <c r="J121" s="141"/>
      <c r="K121" s="141"/>
      <c r="L121" s="138"/>
      <c r="M121" s="14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x14ac:dyDescent="0.2">
      <c r="A123" s="131" t="s">
        <v>70</v>
      </c>
      <c r="B123" s="132"/>
      <c r="C123" s="133">
        <f>C120</f>
        <v>0</v>
      </c>
      <c r="D123" s="133">
        <f>D120</f>
        <v>0</v>
      </c>
      <c r="E123" s="134"/>
      <c r="F123" s="135">
        <f>C123</f>
        <v>0</v>
      </c>
      <c r="G123" s="135">
        <f>D123</f>
        <v>0</v>
      </c>
      <c r="H123" s="134"/>
      <c r="I123" s="133"/>
      <c r="J123" s="133"/>
      <c r="K123" s="133"/>
      <c r="L123" s="133"/>
      <c r="M123" s="136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x14ac:dyDescent="0.2">
      <c r="A124" s="137"/>
      <c r="B124" s="138"/>
      <c r="C124" s="139">
        <f>D121</f>
        <v>91.44</v>
      </c>
      <c r="D124" s="139">
        <f>C121</f>
        <v>0</v>
      </c>
      <c r="E124" s="138"/>
      <c r="F124" s="140">
        <f>C124</f>
        <v>91.44</v>
      </c>
      <c r="G124" s="140">
        <f>D124</f>
        <v>0</v>
      </c>
      <c r="H124" s="138"/>
      <c r="I124" s="141"/>
      <c r="J124" s="141"/>
      <c r="K124" s="141"/>
      <c r="L124" s="138"/>
      <c r="M124" s="14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x14ac:dyDescent="0.2">
      <c r="A127" s="12"/>
      <c r="B127" s="12"/>
      <c r="C127" s="14" t="s">
        <v>3</v>
      </c>
      <c r="D127" s="14" t="s">
        <v>4</v>
      </c>
      <c r="E127" s="14" t="s">
        <v>5</v>
      </c>
      <c r="F127" s="14" t="s">
        <v>6</v>
      </c>
      <c r="G127" s="14" t="s">
        <v>28</v>
      </c>
      <c r="H127" s="14" t="s">
        <v>38</v>
      </c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x14ac:dyDescent="0.2">
      <c r="A128" s="12"/>
      <c r="B128" s="12"/>
      <c r="C128" s="15">
        <f>C52</f>
        <v>81.437976345471327</v>
      </c>
      <c r="D128" s="15">
        <f>D52</f>
        <v>27.232303214400272</v>
      </c>
      <c r="E128" s="14"/>
      <c r="F128" s="14"/>
      <c r="G128" s="14"/>
      <c r="H128" s="14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x14ac:dyDescent="0.2">
      <c r="A129" s="12"/>
      <c r="B129" s="12"/>
      <c r="C129" s="15">
        <f>C53</f>
        <v>10.002023654528685</v>
      </c>
      <c r="D129" s="15">
        <f>D53</f>
        <v>27.232303214400272</v>
      </c>
      <c r="E129" s="15">
        <f>C128-C129</f>
        <v>71.435952690942642</v>
      </c>
      <c r="F129" s="15">
        <f>D128-D129</f>
        <v>0</v>
      </c>
      <c r="G129" s="15">
        <f>(E129^2+F129^2)^0.5</f>
        <v>71.435952690942642</v>
      </c>
      <c r="H129" s="16">
        <f>F129/E129</f>
        <v>0</v>
      </c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x14ac:dyDescent="0.2">
      <c r="A130" s="12"/>
      <c r="B130" s="12"/>
      <c r="C130" s="15"/>
      <c r="D130" s="15"/>
      <c r="E130" s="14"/>
      <c r="F130" s="14"/>
      <c r="G130" s="14"/>
      <c r="H130" s="14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x14ac:dyDescent="0.2">
      <c r="A131" s="12"/>
      <c r="B131" s="12"/>
      <c r="C131" s="16"/>
      <c r="D131" s="15"/>
      <c r="E131" s="14"/>
      <c r="F131" s="14"/>
      <c r="G131" s="15"/>
      <c r="H131" s="14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x14ac:dyDescent="0.2">
      <c r="A132" s="12"/>
      <c r="B132" s="12"/>
      <c r="C132" s="14"/>
      <c r="D132" s="14"/>
      <c r="E132" s="14"/>
      <c r="F132" s="14"/>
      <c r="G132" s="15"/>
      <c r="H132" s="14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x14ac:dyDescent="0.2">
      <c r="A133" s="12"/>
      <c r="B133" s="12"/>
      <c r="C133" s="14"/>
      <c r="D133" s="14"/>
      <c r="E133" s="14" t="str">
        <f>'Cyclops TH'!I7</f>
        <v>x</v>
      </c>
      <c r="F133" s="14"/>
      <c r="G133" s="15"/>
      <c r="H133" s="14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x14ac:dyDescent="0.2">
      <c r="A134" s="12"/>
      <c r="B134" s="12"/>
      <c r="C134" s="15">
        <f>C135+('Cyclops TH'!$D$4*COS(ATAN($H$129)))/2+C131</f>
        <v>61.720000000000006</v>
      </c>
      <c r="D134" s="15">
        <f>D135+('Cyclops TH'!$D$4*SIN(ATAN($H$129)))/2</f>
        <v>27.232303214400272</v>
      </c>
      <c r="E134" s="144" t="str">
        <f t="shared" ref="E134:E139" si="19">$E$133</f>
        <v>x</v>
      </c>
      <c r="F134" s="15">
        <f>IF(E134="x",C134,"")</f>
        <v>61.720000000000006</v>
      </c>
      <c r="G134" s="15">
        <f>IF(E134="x",D134,"")</f>
        <v>27.232303214400272</v>
      </c>
      <c r="H134" s="1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x14ac:dyDescent="0.2">
      <c r="A135" s="12"/>
      <c r="B135" s="12"/>
      <c r="C135" s="15">
        <f>(C53+C52)/2</f>
        <v>45.720000000000006</v>
      </c>
      <c r="D135" s="15">
        <f>D128-(F129*'Cyclops TH'!D16/G129)-D131</f>
        <v>27.232303214400272</v>
      </c>
      <c r="E135" s="144" t="str">
        <f t="shared" si="19"/>
        <v>x</v>
      </c>
      <c r="F135" s="15">
        <f t="shared" ref="F135:F139" si="20">IF(E135="x",C135,"")</f>
        <v>45.720000000000006</v>
      </c>
      <c r="G135" s="15">
        <f t="shared" ref="G135:G139" si="21">IF(E135="x",D135,"")</f>
        <v>27.232303214400272</v>
      </c>
      <c r="H135" s="1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x14ac:dyDescent="0.2">
      <c r="A136" s="12"/>
      <c r="B136" s="12"/>
      <c r="C136" s="15">
        <f>C135+'Cyclops TH'!$D$6*SIN(ATAN($H$129))</f>
        <v>45.720000000000006</v>
      </c>
      <c r="D136" s="15">
        <f>D135+'Cyclops TH'!$D$6*COS(ATAN($H$129))</f>
        <v>42.47230321440027</v>
      </c>
      <c r="E136" s="144" t="str">
        <f t="shared" si="19"/>
        <v>x</v>
      </c>
      <c r="F136" s="15">
        <f t="shared" si="20"/>
        <v>45.720000000000006</v>
      </c>
      <c r="G136" s="15">
        <f t="shared" si="21"/>
        <v>42.47230321440027</v>
      </c>
      <c r="H136" s="1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x14ac:dyDescent="0.2">
      <c r="A137" s="12"/>
      <c r="B137" s="12"/>
      <c r="C137" s="15">
        <f>C136+'Cyclops TH'!$D$7*COS(ATAN($H$129))/2</f>
        <v>57.220000000000006</v>
      </c>
      <c r="D137" s="15">
        <f>D136+'Cyclops TH'!$D$7*SIN(ATAN($H$129))/2</f>
        <v>42.47230321440027</v>
      </c>
      <c r="E137" s="144" t="str">
        <f t="shared" si="19"/>
        <v>x</v>
      </c>
      <c r="F137" s="15">
        <f t="shared" si="20"/>
        <v>57.220000000000006</v>
      </c>
      <c r="G137" s="15">
        <f t="shared" si="21"/>
        <v>42.47230321440027</v>
      </c>
      <c r="H137" s="1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x14ac:dyDescent="0.2">
      <c r="A138" s="12"/>
      <c r="B138" s="12"/>
      <c r="C138" s="15">
        <f>C137-'Cyclops TH'!$D$8*SIN(ATAN($H$129))</f>
        <v>57.220000000000006</v>
      </c>
      <c r="D138" s="15">
        <f>D137-'Cyclops TH'!$D$8*COS(ATAN($H$129))</f>
        <v>37.372303214400269</v>
      </c>
      <c r="E138" s="144" t="str">
        <f t="shared" si="19"/>
        <v>x</v>
      </c>
      <c r="F138" s="15">
        <f t="shared" si="20"/>
        <v>57.220000000000006</v>
      </c>
      <c r="G138" s="15">
        <f t="shared" si="21"/>
        <v>37.372303214400269</v>
      </c>
      <c r="H138" s="1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x14ac:dyDescent="0.2">
      <c r="A139" s="12"/>
      <c r="B139" s="12"/>
      <c r="C139" s="15">
        <f>C135+'Cyclops TH'!$D$5*COS(ATAN($H$129))/2</f>
        <v>60.720000000000006</v>
      </c>
      <c r="D139" s="15">
        <f>D135+('Cyclops TH'!$D$5)*SIN(ATAN($H$129))/2</f>
        <v>27.232303214400272</v>
      </c>
      <c r="E139" s="144" t="str">
        <f t="shared" si="19"/>
        <v>x</v>
      </c>
      <c r="F139" s="15">
        <f t="shared" si="20"/>
        <v>60.720000000000006</v>
      </c>
      <c r="G139" s="15">
        <f t="shared" si="21"/>
        <v>27.232303214400272</v>
      </c>
      <c r="H139" s="14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x14ac:dyDescent="0.2">
      <c r="A140" s="12"/>
      <c r="B140" s="12"/>
      <c r="C140" s="15"/>
      <c r="D140" s="14"/>
      <c r="F140" s="15"/>
      <c r="G140" s="15"/>
      <c r="H140" s="14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x14ac:dyDescent="0.2">
      <c r="A141" s="12"/>
      <c r="B141" s="12"/>
      <c r="C141" s="15">
        <f>C142-('Cyclops TH'!$D$4*COS(ATAN($H$129)))/2</f>
        <v>29.720000000000006</v>
      </c>
      <c r="D141" s="15">
        <f>D142-('Cyclops TH'!$D$4*SIN(ATAN($H$129)))/2</f>
        <v>27.232303214400272</v>
      </c>
      <c r="E141" s="144" t="str">
        <f t="shared" ref="E141:E146" si="22">$E$133</f>
        <v>x</v>
      </c>
      <c r="F141" s="15">
        <f t="shared" ref="F141:F146" si="23">IF(E141="x",C141,"")</f>
        <v>29.720000000000006</v>
      </c>
      <c r="G141" s="15">
        <f t="shared" ref="G141:G146" si="24">IF(E141="x",D141,"")</f>
        <v>27.232303214400272</v>
      </c>
      <c r="H141" s="14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x14ac:dyDescent="0.2">
      <c r="A142" s="12"/>
      <c r="B142" s="12"/>
      <c r="C142" s="15">
        <f>C135</f>
        <v>45.720000000000006</v>
      </c>
      <c r="D142" s="15">
        <f>D135</f>
        <v>27.232303214400272</v>
      </c>
      <c r="E142" s="144" t="str">
        <f t="shared" si="22"/>
        <v>x</v>
      </c>
      <c r="F142" s="15">
        <f t="shared" si="23"/>
        <v>45.720000000000006</v>
      </c>
      <c r="G142" s="15">
        <f t="shared" si="24"/>
        <v>27.232303214400272</v>
      </c>
      <c r="H142" s="14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x14ac:dyDescent="0.2">
      <c r="A143" s="12"/>
      <c r="B143" s="12"/>
      <c r="C143" s="15">
        <f>C136</f>
        <v>45.720000000000006</v>
      </c>
      <c r="D143" s="15">
        <f>D136</f>
        <v>42.47230321440027</v>
      </c>
      <c r="E143" s="144" t="str">
        <f t="shared" si="22"/>
        <v>x</v>
      </c>
      <c r="F143" s="15">
        <f t="shared" si="23"/>
        <v>45.720000000000006</v>
      </c>
      <c r="G143" s="15">
        <f t="shared" si="24"/>
        <v>42.47230321440027</v>
      </c>
      <c r="H143" s="14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x14ac:dyDescent="0.2">
      <c r="A144" s="12"/>
      <c r="B144" s="12"/>
      <c r="C144" s="15">
        <f>C143-'Cyclops TH'!$D$7*COS(ATAN($H$129))/2</f>
        <v>34.220000000000006</v>
      </c>
      <c r="D144" s="15">
        <f>D143-'Cyclops TH'!$D$7*SIN(ATAN($H$129))/2</f>
        <v>42.47230321440027</v>
      </c>
      <c r="E144" s="144" t="str">
        <f t="shared" si="22"/>
        <v>x</v>
      </c>
      <c r="F144" s="15">
        <f t="shared" si="23"/>
        <v>34.220000000000006</v>
      </c>
      <c r="G144" s="15">
        <f t="shared" si="24"/>
        <v>42.47230321440027</v>
      </c>
      <c r="H144" s="14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x14ac:dyDescent="0.2">
      <c r="A145" s="12"/>
      <c r="B145" s="12"/>
      <c r="C145" s="15">
        <f>C144-'Cyclops TH'!$D$8*SIN(ATAN($H$129))</f>
        <v>34.220000000000006</v>
      </c>
      <c r="D145" s="15">
        <f>D144-'Cyclops TH'!$D$8*COS(ATAN($H$129))</f>
        <v>37.372303214400269</v>
      </c>
      <c r="E145" s="144" t="str">
        <f t="shared" si="22"/>
        <v>x</v>
      </c>
      <c r="F145" s="15">
        <f t="shared" si="23"/>
        <v>34.220000000000006</v>
      </c>
      <c r="G145" s="15">
        <f t="shared" si="24"/>
        <v>37.372303214400269</v>
      </c>
      <c r="H145" s="14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x14ac:dyDescent="0.2">
      <c r="A146" s="12"/>
      <c r="B146" s="12"/>
      <c r="C146" s="15">
        <f>C142-'Cyclops TH'!$D$5*COS(ATAN($H$129))/2</f>
        <v>30.720000000000006</v>
      </c>
      <c r="D146" s="15">
        <f>D142-('Cyclops TH'!$D$5)*SIN(ATAN($H$129))/2</f>
        <v>27.232303214400272</v>
      </c>
      <c r="E146" s="144" t="str">
        <f t="shared" si="22"/>
        <v>x</v>
      </c>
      <c r="F146" s="15">
        <f t="shared" si="23"/>
        <v>30.720000000000006</v>
      </c>
      <c r="G146" s="15">
        <f t="shared" si="24"/>
        <v>27.232303214400272</v>
      </c>
      <c r="H146" s="1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x14ac:dyDescent="0.2">
      <c r="A147" s="12"/>
      <c r="B147" s="12"/>
      <c r="C147" s="15"/>
      <c r="D147" s="14"/>
      <c r="F147" s="15"/>
      <c r="G147" s="15"/>
      <c r="H147" s="1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x14ac:dyDescent="0.2">
      <c r="A148" s="12"/>
      <c r="B148" s="12"/>
      <c r="C148" s="15">
        <f>C145</f>
        <v>34.220000000000006</v>
      </c>
      <c r="D148" s="15">
        <f>D145</f>
        <v>37.372303214400269</v>
      </c>
      <c r="E148" s="144" t="str">
        <f>$E$133</f>
        <v>x</v>
      </c>
      <c r="F148" s="15">
        <f t="shared" ref="F148:F149" si="25">IF(E148="x",C148,"")</f>
        <v>34.220000000000006</v>
      </c>
      <c r="G148" s="15">
        <f t="shared" ref="G148:G149" si="26">IF(E148="x",D148,"")</f>
        <v>37.372303214400269</v>
      </c>
      <c r="H148" s="1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x14ac:dyDescent="0.2">
      <c r="A149" s="12"/>
      <c r="B149" s="12"/>
      <c r="C149" s="15">
        <f>C138</f>
        <v>57.220000000000006</v>
      </c>
      <c r="D149" s="15">
        <f>D138</f>
        <v>37.372303214400269</v>
      </c>
      <c r="E149" s="144" t="str">
        <f>$E$133</f>
        <v>x</v>
      </c>
      <c r="F149" s="15">
        <f t="shared" si="25"/>
        <v>57.220000000000006</v>
      </c>
      <c r="G149" s="15">
        <f t="shared" si="26"/>
        <v>37.372303214400269</v>
      </c>
      <c r="H149" s="1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AG167"/>
  <sheetViews>
    <sheetView topLeftCell="A31" workbookViewId="0">
      <selection activeCell="D10" sqref="D10"/>
    </sheetView>
  </sheetViews>
  <sheetFormatPr defaultRowHeight="11.25" x14ac:dyDescent="0.2"/>
  <cols>
    <col min="1" max="24" width="9.140625" style="10"/>
    <col min="25" max="25" width="16" style="10" customWidth="1"/>
    <col min="26" max="16384" width="9.140625" style="10"/>
  </cols>
  <sheetData>
    <row r="2" spans="3:16" x14ac:dyDescent="0.2">
      <c r="C2" s="109" t="s">
        <v>50</v>
      </c>
      <c r="D2" s="149">
        <f>COS('Cyclops TH'!D34*PI()/180)</f>
        <v>0.99914623470499531</v>
      </c>
      <c r="E2" s="149">
        <f>'Cyclops TH'!D28*D2</f>
        <v>1.903373577113016</v>
      </c>
      <c r="F2" s="109"/>
      <c r="G2" s="109" t="s">
        <v>50</v>
      </c>
      <c r="H2" s="149">
        <f>COS('Cyclops TH'!D34*PI()/(180*2))</f>
        <v>0.99978653589278632</v>
      </c>
      <c r="I2" s="149">
        <f>'Cyclops TH'!D28*H2</f>
        <v>1.904593350875758</v>
      </c>
      <c r="J2" s="109"/>
      <c r="K2" s="109"/>
      <c r="L2" s="150">
        <f>COS(ATAN(L4))</f>
        <v>1</v>
      </c>
    </row>
    <row r="3" spans="3:16" x14ac:dyDescent="0.2">
      <c r="C3" s="109" t="s">
        <v>51</v>
      </c>
      <c r="D3" s="149">
        <f>SIN('Cyclops TH'!D34*PI()/180)</f>
        <v>4.1313456340887685E-2</v>
      </c>
      <c r="E3" s="149">
        <f>'Cyclops TH'!D28*D3</f>
        <v>7.8702134329391035E-2</v>
      </c>
      <c r="F3" s="109"/>
      <c r="G3" s="109" t="s">
        <v>51</v>
      </c>
      <c r="H3" s="149">
        <f>SIN('Cyclops TH'!D34*PI()/(180*2))</f>
        <v>2.0661138581945255E-2</v>
      </c>
      <c r="I3" s="149">
        <f>'Cyclops TH'!D28*H3</f>
        <v>3.9359468998605714E-2</v>
      </c>
      <c r="J3" s="109"/>
      <c r="K3" s="109"/>
      <c r="L3" s="150">
        <f>SIN(ATAN(L4))</f>
        <v>0</v>
      </c>
    </row>
    <row r="4" spans="3:16" x14ac:dyDescent="0.2">
      <c r="C4" s="109" t="s">
        <v>54</v>
      </c>
      <c r="D4" s="149">
        <f>TAN('Cyclops TH'!D34*PI()/180)</f>
        <v>4.1348758475865909E-2</v>
      </c>
      <c r="E4" s="109"/>
      <c r="F4" s="109"/>
      <c r="G4" s="109" t="s">
        <v>54</v>
      </c>
      <c r="H4" s="149">
        <f>TAN('Cyclops TH'!D34*PI()/(180*2))</f>
        <v>2.0665549935112236E-2</v>
      </c>
      <c r="I4" s="109"/>
      <c r="J4" s="109"/>
      <c r="K4" s="109"/>
      <c r="L4" s="150">
        <f>(Panels!D106-Panels!D105)/(Panels!C106-Panels!C105)</f>
        <v>0</v>
      </c>
    </row>
    <row r="6" spans="3:16" x14ac:dyDescent="0.2">
      <c r="D6" s="4" t="s">
        <v>58</v>
      </c>
      <c r="E6" s="4" t="s">
        <v>1</v>
      </c>
      <c r="F6" s="4" t="s">
        <v>78</v>
      </c>
      <c r="G6" s="4" t="s">
        <v>19</v>
      </c>
      <c r="H6" s="4" t="s">
        <v>4</v>
      </c>
    </row>
    <row r="7" spans="3:16" x14ac:dyDescent="0.2">
      <c r="C7" s="1" t="s">
        <v>20</v>
      </c>
      <c r="D7" s="165">
        <f>Q26</f>
        <v>350</v>
      </c>
      <c r="E7" s="10">
        <v>0</v>
      </c>
      <c r="F7" s="177">
        <f t="shared" ref="F7:F11" si="0">$O$14</f>
        <v>31.750000000000004</v>
      </c>
      <c r="H7" s="177">
        <f t="shared" ref="H7:H11" si="1">D7/F7</f>
        <v>11.023622047244093</v>
      </c>
    </row>
    <row r="8" spans="3:16" x14ac:dyDescent="0.2">
      <c r="C8" s="1" t="s">
        <v>55</v>
      </c>
      <c r="D8" s="165">
        <f>(D9-D7)*E8/E9+D7</f>
        <v>350.13128230816085</v>
      </c>
      <c r="E8" s="10">
        <v>0.1</v>
      </c>
      <c r="F8" s="177">
        <f t="shared" si="0"/>
        <v>31.750000000000004</v>
      </c>
      <c r="G8" s="177">
        <f>E8-E7</f>
        <v>0.1</v>
      </c>
      <c r="H8" s="177">
        <f t="shared" si="1"/>
        <v>11.02775692309168</v>
      </c>
    </row>
    <row r="9" spans="3:16" x14ac:dyDescent="0.2">
      <c r="C9" s="1" t="s">
        <v>77</v>
      </c>
      <c r="D9" s="165">
        <f>Q122</f>
        <v>550</v>
      </c>
      <c r="E9" s="177">
        <f>N122</f>
        <v>152.34345191045742</v>
      </c>
      <c r="F9" s="177">
        <f t="shared" si="0"/>
        <v>31.750000000000004</v>
      </c>
      <c r="G9" s="177">
        <f>E9-E8</f>
        <v>152.24345191045742</v>
      </c>
      <c r="H9" s="177">
        <f t="shared" si="1"/>
        <v>17.322834645669289</v>
      </c>
      <c r="I9" s="177">
        <f>ATAN((H9-H7)/(E9-E7))*180/PI()</f>
        <v>2.3677605610565471</v>
      </c>
    </row>
    <row r="10" spans="3:16" x14ac:dyDescent="0.2">
      <c r="C10" s="1" t="s">
        <v>21</v>
      </c>
      <c r="D10" s="165">
        <f>(D11-D9)*(E10-E9)/(E11-E9)+D9</f>
        <v>1114.6555626035329</v>
      </c>
      <c r="E10" s="177">
        <f>(N155+N152)/2</f>
        <v>185.1017588839934</v>
      </c>
      <c r="F10" s="177">
        <f t="shared" si="0"/>
        <v>31.750000000000004</v>
      </c>
      <c r="G10" s="177">
        <f>E10-E9</f>
        <v>32.75830697353598</v>
      </c>
      <c r="H10" s="177">
        <f t="shared" si="1"/>
        <v>35.107261814284499</v>
      </c>
      <c r="I10" s="177"/>
    </row>
    <row r="11" spans="3:16" x14ac:dyDescent="0.2">
      <c r="C11" s="1" t="s">
        <v>79</v>
      </c>
      <c r="D11" s="178">
        <f>Q167</f>
        <v>1466.2397247414367</v>
      </c>
      <c r="E11" s="177">
        <f>N167</f>
        <v>205.498798554058</v>
      </c>
      <c r="F11" s="177">
        <f t="shared" si="0"/>
        <v>31.750000000000004</v>
      </c>
      <c r="G11" s="177">
        <f>E11-E10</f>
        <v>20.397039670064601</v>
      </c>
      <c r="H11" s="177">
        <f t="shared" si="1"/>
        <v>46.180778732013749</v>
      </c>
      <c r="I11" s="177">
        <f>ATAN((H11-H9)/(E11-E9))*180/PI()</f>
        <v>28.497457268285746</v>
      </c>
      <c r="J11" s="177">
        <f>I11/2</f>
        <v>14.248728634142873</v>
      </c>
    </row>
    <row r="12" spans="3:16" x14ac:dyDescent="0.2">
      <c r="D12" s="178"/>
      <c r="E12" s="177"/>
      <c r="F12" s="177"/>
      <c r="G12" s="177"/>
      <c r="H12" s="177"/>
      <c r="I12" s="177"/>
    </row>
    <row r="13" spans="3:16" x14ac:dyDescent="0.2">
      <c r="D13" s="178"/>
      <c r="E13" s="177"/>
      <c r="F13" s="177"/>
      <c r="H13" s="177"/>
      <c r="I13" s="177"/>
      <c r="O13" s="179" t="s">
        <v>78</v>
      </c>
      <c r="P13" s="179"/>
    </row>
    <row r="14" spans="3:16" x14ac:dyDescent="0.2">
      <c r="O14" s="177">
        <f>'Cyclops TH'!D32</f>
        <v>31.750000000000004</v>
      </c>
      <c r="P14" s="177"/>
    </row>
    <row r="15" spans="3:16" x14ac:dyDescent="0.2">
      <c r="C15" s="204" t="s">
        <v>128</v>
      </c>
      <c r="E15" s="10">
        <f>'Cyclops TH'!D35</f>
        <v>14.248221365470389</v>
      </c>
      <c r="O15" s="177"/>
      <c r="P15" s="177"/>
    </row>
    <row r="16" spans="3:16" x14ac:dyDescent="0.2">
      <c r="C16" s="209" t="s">
        <v>50</v>
      </c>
      <c r="D16" s="210"/>
      <c r="E16" s="211">
        <f>COS(E15*PI()/180)</f>
        <v>0.96923855058349184</v>
      </c>
      <c r="O16" s="177"/>
      <c r="P16" s="177"/>
    </row>
    <row r="17" spans="1:22" x14ac:dyDescent="0.2">
      <c r="C17" s="212" t="s">
        <v>51</v>
      </c>
      <c r="D17" s="213"/>
      <c r="E17" s="214">
        <f>SIN(E15*PI()/180)</f>
        <v>0.24612320504741528</v>
      </c>
      <c r="O17" s="177"/>
      <c r="P17" s="177"/>
    </row>
    <row r="18" spans="1:22" x14ac:dyDescent="0.2">
      <c r="C18" s="212" t="s">
        <v>54</v>
      </c>
      <c r="D18" s="213"/>
      <c r="E18" s="214">
        <f>TAN(E15*PI()/180)</f>
        <v>0.25393460144486257</v>
      </c>
      <c r="O18" s="177"/>
      <c r="P18" s="177"/>
    </row>
    <row r="19" spans="1:22" x14ac:dyDescent="0.2">
      <c r="C19" s="212"/>
      <c r="D19" s="213"/>
      <c r="E19" s="215"/>
      <c r="O19" s="177"/>
      <c r="P19" s="177"/>
    </row>
    <row r="20" spans="1:22" x14ac:dyDescent="0.2">
      <c r="C20" s="212" t="s">
        <v>50</v>
      </c>
      <c r="D20" s="213"/>
      <c r="E20" s="214">
        <f>COS(E15*PI()/(180*2))</f>
        <v>0.9922798371889584</v>
      </c>
      <c r="O20" s="177"/>
      <c r="P20" s="177"/>
    </row>
    <row r="21" spans="1:22" x14ac:dyDescent="0.2">
      <c r="C21" s="212" t="s">
        <v>51</v>
      </c>
      <c r="D21" s="213"/>
      <c r="E21" s="214">
        <f>SIN(E15*PI()/(180*2))</f>
        <v>0.12401904977967741</v>
      </c>
      <c r="O21" s="177"/>
      <c r="P21" s="177"/>
    </row>
    <row r="22" spans="1:22" x14ac:dyDescent="0.2">
      <c r="C22" s="216" t="s">
        <v>54</v>
      </c>
      <c r="D22" s="217"/>
      <c r="E22" s="218">
        <f>TAN(E15*PI()/(180*2))</f>
        <v>0.12498394619305425</v>
      </c>
      <c r="O22" s="177"/>
      <c r="P22" s="177"/>
    </row>
    <row r="23" spans="1:22" x14ac:dyDescent="0.2">
      <c r="A23" s="11" t="s">
        <v>52</v>
      </c>
      <c r="B23" s="109"/>
      <c r="C23" s="24" t="s">
        <v>3</v>
      </c>
      <c r="D23" s="24" t="s">
        <v>4</v>
      </c>
      <c r="E23" s="109"/>
      <c r="F23" s="24" t="s">
        <v>3</v>
      </c>
      <c r="G23" s="24" t="s">
        <v>4</v>
      </c>
      <c r="H23" s="109"/>
      <c r="I23" s="24" t="s">
        <v>19</v>
      </c>
      <c r="J23" s="24" t="s">
        <v>3</v>
      </c>
      <c r="K23" s="24" t="s">
        <v>4</v>
      </c>
      <c r="L23" s="11" t="s">
        <v>53</v>
      </c>
      <c r="M23" s="24" t="s">
        <v>19</v>
      </c>
      <c r="N23" s="11" t="s">
        <v>1</v>
      </c>
      <c r="O23" s="11" t="s">
        <v>78</v>
      </c>
      <c r="P23" s="11" t="s">
        <v>7</v>
      </c>
      <c r="Q23" s="11" t="s">
        <v>58</v>
      </c>
      <c r="R23" s="109"/>
      <c r="S23" s="109"/>
      <c r="T23" s="109" t="s">
        <v>90</v>
      </c>
      <c r="U23" s="109"/>
      <c r="V23" s="109"/>
    </row>
    <row r="24" spans="1:22" x14ac:dyDescent="0.2">
      <c r="A24" s="11"/>
      <c r="B24" s="109"/>
      <c r="C24" s="151"/>
      <c r="D24" s="152"/>
      <c r="E24" s="153"/>
      <c r="F24" s="152"/>
      <c r="G24" s="152"/>
      <c r="H24" s="152"/>
      <c r="I24" s="152"/>
      <c r="J24" s="152"/>
      <c r="K24" s="152"/>
      <c r="L24" s="153"/>
      <c r="M24" s="153"/>
      <c r="N24" s="153"/>
      <c r="O24" s="153"/>
      <c r="P24" s="152"/>
      <c r="Q24" s="154"/>
      <c r="R24" s="184"/>
      <c r="S24" s="184"/>
      <c r="T24" s="184"/>
      <c r="U24" s="184"/>
      <c r="V24" s="184"/>
    </row>
    <row r="25" spans="1:22" x14ac:dyDescent="0.2">
      <c r="A25" s="11"/>
      <c r="B25" s="109"/>
      <c r="C25" s="155"/>
      <c r="D25" s="156"/>
      <c r="E25" s="180" t="s">
        <v>86</v>
      </c>
      <c r="F25" s="156"/>
      <c r="G25" s="156"/>
      <c r="H25" s="156"/>
      <c r="I25" s="156"/>
      <c r="J25" s="156"/>
      <c r="K25" s="156"/>
      <c r="L25" s="157"/>
      <c r="M25" s="157"/>
      <c r="N25" s="156"/>
      <c r="O25" s="156"/>
      <c r="P25" s="156"/>
      <c r="Q25" s="158"/>
      <c r="R25" s="184"/>
      <c r="S25" s="184"/>
      <c r="T25" s="184"/>
      <c r="U25" s="184"/>
      <c r="V25" s="184"/>
    </row>
    <row r="26" spans="1:22" x14ac:dyDescent="0.2">
      <c r="A26" s="11"/>
      <c r="B26" s="109"/>
      <c r="C26" s="159"/>
      <c r="D26" s="160"/>
      <c r="E26" s="160"/>
      <c r="F26" s="161"/>
      <c r="G26" s="162"/>
      <c r="H26" s="162"/>
      <c r="I26" s="162"/>
      <c r="J26" s="162"/>
      <c r="K26" s="162"/>
      <c r="L26" s="163"/>
      <c r="M26" s="162"/>
      <c r="N26" s="162">
        <f>-N32</f>
        <v>-13.326196171056068</v>
      </c>
      <c r="O26" s="162">
        <f>$O$14</f>
        <v>31.750000000000004</v>
      </c>
      <c r="P26" s="162">
        <v>2</v>
      </c>
      <c r="Q26" s="164">
        <f>'Cyclops TH'!D11</f>
        <v>350</v>
      </c>
      <c r="R26" s="185">
        <f>Q26/2</f>
        <v>175</v>
      </c>
      <c r="S26" s="185">
        <f>-R26</f>
        <v>-175</v>
      </c>
      <c r="T26" s="184"/>
      <c r="U26" s="185">
        <f>(($D$9-$D$7)*N26/$E$9+$D$7)/2</f>
        <v>166.25253103829579</v>
      </c>
      <c r="V26" s="185">
        <f>-U26</f>
        <v>-166.25253103829579</v>
      </c>
    </row>
    <row r="27" spans="1:22" x14ac:dyDescent="0.2">
      <c r="A27" s="109"/>
      <c r="B27" s="109"/>
      <c r="C27" s="151">
        <f>Panels!C22</f>
        <v>46.672499999999999</v>
      </c>
      <c r="D27" s="152">
        <f>Panels!D22</f>
        <v>25.327303214400271</v>
      </c>
      <c r="E27" s="153"/>
      <c r="F27" s="152">
        <f>IF('Cyclops TH'!$I$6="x",C27,0)</f>
        <v>46.672499999999999</v>
      </c>
      <c r="G27" s="152">
        <f>IF('Cyclops TH'!$I$6="x",D27,0)</f>
        <v>25.327303214400271</v>
      </c>
      <c r="H27" s="152">
        <f>SUM(C27:C28)/2</f>
        <v>46.672499999999999</v>
      </c>
      <c r="I27" s="152">
        <f>SUM(D27:D28)/2</f>
        <v>22.433638611605865</v>
      </c>
      <c r="J27" s="152">
        <f>IF('Cyclops TH'!$I$5="x",H27,"")</f>
        <v>46.672499999999999</v>
      </c>
      <c r="K27" s="152">
        <f>IF('Cyclops TH'!$I$5="x",I27,"")</f>
        <v>22.433638611605865</v>
      </c>
      <c r="L27" s="153"/>
      <c r="M27" s="153"/>
      <c r="N27" s="153"/>
      <c r="O27" s="153"/>
      <c r="P27" s="152"/>
      <c r="Q27" s="154"/>
      <c r="R27" s="184"/>
      <c r="S27" s="184"/>
      <c r="T27" s="184"/>
      <c r="U27" s="184"/>
      <c r="V27" s="184"/>
    </row>
    <row r="28" spans="1:22" x14ac:dyDescent="0.2">
      <c r="A28" s="1">
        <f t="shared" ref="A28:A85" si="2">A31+1</f>
        <v>47</v>
      </c>
      <c r="B28" s="128">
        <v>1</v>
      </c>
      <c r="C28" s="155">
        <f>Panels!C105</f>
        <v>46.672499999999999</v>
      </c>
      <c r="D28" s="156">
        <f>Panels!D105</f>
        <v>19.539974008811463</v>
      </c>
      <c r="E28" s="180" t="s">
        <v>87</v>
      </c>
      <c r="F28" s="156">
        <f>IF('Cyclops TH'!$I$6="x",C28,0)</f>
        <v>46.672499999999999</v>
      </c>
      <c r="G28" s="156">
        <f>IF('Cyclops TH'!$I$6="x",D28,0)</f>
        <v>19.539974008811463</v>
      </c>
      <c r="H28" s="156"/>
      <c r="I28" s="156"/>
      <c r="J28" s="156">
        <f>J27</f>
        <v>46.672499999999999</v>
      </c>
      <c r="K28" s="156">
        <f>K27</f>
        <v>22.433638611605865</v>
      </c>
      <c r="L28" s="157"/>
      <c r="M28" s="157"/>
      <c r="N28" s="156"/>
      <c r="O28" s="156"/>
      <c r="P28" s="156"/>
      <c r="Q28" s="158"/>
      <c r="R28" s="184"/>
      <c r="S28" s="184"/>
      <c r="T28" s="184"/>
      <c r="U28" s="184"/>
      <c r="V28" s="184"/>
    </row>
    <row r="29" spans="1:22" x14ac:dyDescent="0.2">
      <c r="A29" s="109"/>
      <c r="B29" s="11"/>
      <c r="C29" s="159"/>
      <c r="D29" s="160"/>
      <c r="E29" s="160"/>
      <c r="F29" s="161"/>
      <c r="G29" s="162"/>
      <c r="H29" s="162"/>
      <c r="I29" s="162"/>
      <c r="J29" s="162">
        <f>J28</f>
        <v>46.672499999999999</v>
      </c>
      <c r="K29" s="162">
        <f>K28</f>
        <v>22.433638611605865</v>
      </c>
      <c r="L29" s="163"/>
      <c r="M29" s="162">
        <v>0</v>
      </c>
      <c r="N29" s="162">
        <f>M29</f>
        <v>0</v>
      </c>
      <c r="O29" s="162">
        <f>$O$14</f>
        <v>31.750000000000004</v>
      </c>
      <c r="P29" s="162">
        <v>2</v>
      </c>
      <c r="Q29" s="164">
        <f>((C27-C28)^2+(D27-D28)^2)^0.5*O29*P29</f>
        <v>367.49540455488932</v>
      </c>
      <c r="R29" s="185">
        <f t="shared" ref="R29:R60" si="3">Q29/2</f>
        <v>183.74770227744466</v>
      </c>
      <c r="S29" s="185">
        <f t="shared" ref="S29:S60" si="4">-R29</f>
        <v>-183.74770227744466</v>
      </c>
      <c r="T29" s="186">
        <f>(U29-R29)*2</f>
        <v>-17.495404554889319</v>
      </c>
      <c r="U29" s="185">
        <f>(($D$9-$D$7)*N29/$E$9+$D$7)/2</f>
        <v>175</v>
      </c>
      <c r="V29" s="185">
        <f t="shared" ref="V29:V60" si="5">-U29</f>
        <v>-175</v>
      </c>
    </row>
    <row r="30" spans="1:22" x14ac:dyDescent="0.2">
      <c r="A30" s="109"/>
      <c r="B30" s="11"/>
      <c r="C30" s="151">
        <f>(C27+C33)/2</f>
        <v>59.998696171056068</v>
      </c>
      <c r="D30" s="152">
        <f>(D27+D33)/2</f>
        <v>25.327303214400271</v>
      </c>
      <c r="E30" s="153"/>
      <c r="F30" s="152">
        <f>IF('Cyclops TH'!$I$6="x",C30,0)</f>
        <v>59.998696171056068</v>
      </c>
      <c r="G30" s="152">
        <f>IF('Cyclops TH'!$I$6="x",D30,0)</f>
        <v>25.327303214400271</v>
      </c>
      <c r="H30" s="152">
        <f>SUM(C30:C31)/2</f>
        <v>59.998696171056068</v>
      </c>
      <c r="I30" s="152">
        <f>SUM(D30:D31)/2</f>
        <v>22.433638611605865</v>
      </c>
      <c r="J30" s="152">
        <f>IF('Cyclops TH'!$I$5="x",H30,"")</f>
        <v>59.998696171056068</v>
      </c>
      <c r="K30" s="152">
        <f>IF('Cyclops TH'!$I$5="x",I30,"")</f>
        <v>22.433638611605865</v>
      </c>
      <c r="L30" s="153"/>
      <c r="M30" s="152">
        <f>M29</f>
        <v>0</v>
      </c>
      <c r="N30" s="152">
        <f>N29</f>
        <v>0</v>
      </c>
      <c r="O30" s="152"/>
      <c r="P30" s="152"/>
      <c r="Q30" s="166">
        <f>Q29</f>
        <v>367.49540455488932</v>
      </c>
      <c r="R30" s="185">
        <f t="shared" si="3"/>
        <v>183.74770227744466</v>
      </c>
      <c r="S30" s="185">
        <f t="shared" si="4"/>
        <v>-183.74770227744466</v>
      </c>
      <c r="T30" s="186">
        <f t="shared" ref="T30:T93" si="6">(U30-R30)*2</f>
        <v>-17.495404554889319</v>
      </c>
      <c r="U30" s="185">
        <f t="shared" ref="U30:U93" si="7">(($D$9-$D$7)*N30/$E$9+$D$7)/2</f>
        <v>175</v>
      </c>
      <c r="V30" s="185">
        <f t="shared" si="5"/>
        <v>-175</v>
      </c>
    </row>
    <row r="31" spans="1:22" ht="12" thickBot="1" x14ac:dyDescent="0.25">
      <c r="A31" s="1">
        <f t="shared" si="2"/>
        <v>46</v>
      </c>
      <c r="B31" s="128">
        <f>B28+1</f>
        <v>2</v>
      </c>
      <c r="C31" s="155">
        <f>(C28+C34)/2</f>
        <v>59.998696171056068</v>
      </c>
      <c r="D31" s="156">
        <f>(D28+D34)/2</f>
        <v>19.539974008811463</v>
      </c>
      <c r="E31" s="180"/>
      <c r="F31" s="156">
        <f>IF('Cyclops TH'!$I$6="x",C31,0)</f>
        <v>59.998696171056068</v>
      </c>
      <c r="G31" s="156">
        <f>IF('Cyclops TH'!$I$6="x",D31,0)</f>
        <v>19.539974008811463</v>
      </c>
      <c r="H31" s="156"/>
      <c r="I31" s="156"/>
      <c r="J31" s="156">
        <f>J30</f>
        <v>59.998696171056068</v>
      </c>
      <c r="K31" s="156">
        <f>K30</f>
        <v>22.433638611605865</v>
      </c>
      <c r="L31" s="157"/>
      <c r="M31" s="156">
        <f>M30</f>
        <v>0</v>
      </c>
      <c r="N31" s="156">
        <f>N30</f>
        <v>0</v>
      </c>
      <c r="O31" s="156"/>
      <c r="P31" s="156"/>
      <c r="Q31" s="167">
        <f>Q30</f>
        <v>367.49540455488932</v>
      </c>
      <c r="R31" s="185">
        <f t="shared" si="3"/>
        <v>183.74770227744466</v>
      </c>
      <c r="S31" s="185">
        <f t="shared" si="4"/>
        <v>-183.74770227744466</v>
      </c>
      <c r="T31" s="186">
        <f t="shared" si="6"/>
        <v>-17.495404554889319</v>
      </c>
      <c r="U31" s="185">
        <f t="shared" si="7"/>
        <v>175</v>
      </c>
      <c r="V31" s="185">
        <f t="shared" si="5"/>
        <v>-175</v>
      </c>
    </row>
    <row r="32" spans="1:22" ht="12" thickBot="1" x14ac:dyDescent="0.25">
      <c r="A32" s="109"/>
      <c r="B32" s="11"/>
      <c r="C32" s="168"/>
      <c r="D32" s="169"/>
      <c r="E32" s="169"/>
      <c r="F32" s="161"/>
      <c r="G32" s="162"/>
      <c r="H32" s="162"/>
      <c r="I32" s="162"/>
      <c r="J32" s="162">
        <f>J31</f>
        <v>59.998696171056068</v>
      </c>
      <c r="K32" s="162">
        <f>K31</f>
        <v>22.433638611605865</v>
      </c>
      <c r="L32" s="169"/>
      <c r="M32" s="162">
        <f>((H30-H27)^2+(I30-I27)^2)^0.5</f>
        <v>13.326196171056068</v>
      </c>
      <c r="N32" s="162">
        <f>N29+M32</f>
        <v>13.326196171056068</v>
      </c>
      <c r="O32" s="162">
        <f>$O$14</f>
        <v>31.750000000000004</v>
      </c>
      <c r="P32" s="162">
        <v>2</v>
      </c>
      <c r="Q32" s="164">
        <f>((C30-C31)^2+(D30-D31)^2)^0.5*O32*P32</f>
        <v>367.49540455488932</v>
      </c>
      <c r="R32" s="185">
        <f t="shared" si="3"/>
        <v>183.74770227744466</v>
      </c>
      <c r="S32" s="185">
        <f t="shared" si="4"/>
        <v>-183.74770227744466</v>
      </c>
      <c r="T32" s="187">
        <f t="shared" si="6"/>
        <v>-4.6663148089010065E-4</v>
      </c>
      <c r="U32" s="185">
        <f t="shared" si="7"/>
        <v>183.74746896170421</v>
      </c>
      <c r="V32" s="185">
        <f t="shared" si="5"/>
        <v>-183.74746896170421</v>
      </c>
    </row>
    <row r="33" spans="1:22" x14ac:dyDescent="0.2">
      <c r="A33" s="109"/>
      <c r="B33" s="11"/>
      <c r="C33" s="151">
        <f>Panels!C106</f>
        <v>73.324892342112136</v>
      </c>
      <c r="D33" s="152">
        <f>D27</f>
        <v>25.327303214400271</v>
      </c>
      <c r="E33" s="153"/>
      <c r="F33" s="152">
        <f>IF('Cyclops TH'!$I$6="x",C33,0)</f>
        <v>73.324892342112136</v>
      </c>
      <c r="G33" s="152">
        <f>IF('Cyclops TH'!$I$6="x",D33,0)</f>
        <v>25.327303214400271</v>
      </c>
      <c r="H33" s="152">
        <f>SUM(C33:C34)/2</f>
        <v>73.324892342112136</v>
      </c>
      <c r="I33" s="152">
        <f>SUM(D33:D34)/2</f>
        <v>22.433638611605865</v>
      </c>
      <c r="J33" s="152">
        <f>IF('Cyclops TH'!$I$5="x",H33,"")</f>
        <v>73.324892342112136</v>
      </c>
      <c r="K33" s="152">
        <f>IF('Cyclops TH'!$I$5="x",I33,"")</f>
        <v>22.433638611605865</v>
      </c>
      <c r="L33" s="170"/>
      <c r="M33" s="152">
        <f>M32</f>
        <v>13.326196171056068</v>
      </c>
      <c r="N33" s="152">
        <f>N32</f>
        <v>13.326196171056068</v>
      </c>
      <c r="O33" s="152"/>
      <c r="P33" s="152"/>
      <c r="Q33" s="166">
        <f t="shared" ref="Q33:Q34" si="8">Q32</f>
        <v>367.49540455488932</v>
      </c>
      <c r="R33" s="185">
        <f t="shared" si="3"/>
        <v>183.74770227744466</v>
      </c>
      <c r="S33" s="185">
        <f t="shared" si="4"/>
        <v>-183.74770227744466</v>
      </c>
      <c r="T33" s="186">
        <f t="shared" si="6"/>
        <v>-4.6663148089010065E-4</v>
      </c>
      <c r="U33" s="185">
        <f t="shared" si="7"/>
        <v>183.74746896170421</v>
      </c>
      <c r="V33" s="185">
        <f t="shared" si="5"/>
        <v>-183.74746896170421</v>
      </c>
    </row>
    <row r="34" spans="1:22" x14ac:dyDescent="0.2">
      <c r="A34" s="1">
        <f t="shared" si="2"/>
        <v>45</v>
      </c>
      <c r="B34" s="128">
        <f t="shared" ref="B34" si="9">B31+1</f>
        <v>3</v>
      </c>
      <c r="C34" s="155">
        <f>C33</f>
        <v>73.324892342112136</v>
      </c>
      <c r="D34" s="156">
        <f>D28</f>
        <v>19.539974008811463</v>
      </c>
      <c r="E34" s="157"/>
      <c r="F34" s="156">
        <f>IF('Cyclops TH'!$I$6="x",C34,0)</f>
        <v>73.324892342112136</v>
      </c>
      <c r="G34" s="156">
        <f>IF('Cyclops TH'!$I$6="x",D34,0)</f>
        <v>19.539974008811463</v>
      </c>
      <c r="H34" s="157"/>
      <c r="I34" s="157"/>
      <c r="J34" s="156">
        <f>J33</f>
        <v>73.324892342112136</v>
      </c>
      <c r="K34" s="156">
        <f>K33</f>
        <v>22.433638611605865</v>
      </c>
      <c r="L34" s="171"/>
      <c r="M34" s="156">
        <f>M33</f>
        <v>13.326196171056068</v>
      </c>
      <c r="N34" s="156">
        <f>N33</f>
        <v>13.326196171056068</v>
      </c>
      <c r="O34" s="156"/>
      <c r="P34" s="156"/>
      <c r="Q34" s="167">
        <f t="shared" si="8"/>
        <v>367.49540455488932</v>
      </c>
      <c r="R34" s="185">
        <f t="shared" si="3"/>
        <v>183.74770227744466</v>
      </c>
      <c r="S34" s="185">
        <f t="shared" si="4"/>
        <v>-183.74770227744466</v>
      </c>
      <c r="T34" s="186">
        <f t="shared" si="6"/>
        <v>-4.6663148089010065E-4</v>
      </c>
      <c r="U34" s="185">
        <f t="shared" si="7"/>
        <v>183.74746896170421</v>
      </c>
      <c r="V34" s="185">
        <f t="shared" si="5"/>
        <v>-183.74746896170421</v>
      </c>
    </row>
    <row r="35" spans="1:22" x14ac:dyDescent="0.2">
      <c r="A35" s="109"/>
      <c r="B35" s="11"/>
      <c r="C35" s="168"/>
      <c r="D35" s="169"/>
      <c r="E35" s="169"/>
      <c r="F35" s="161"/>
      <c r="G35" s="162"/>
      <c r="H35" s="169"/>
      <c r="I35" s="169"/>
      <c r="J35" s="162">
        <f>J34</f>
        <v>73.324892342112136</v>
      </c>
      <c r="K35" s="162">
        <f>K34</f>
        <v>22.433638611605865</v>
      </c>
      <c r="L35" s="163"/>
      <c r="M35" s="162">
        <f>((H33-H30)^2+(I33-I30)^2)^0.5</f>
        <v>13.326196171056068</v>
      </c>
      <c r="N35" s="162">
        <f>N32+M35</f>
        <v>26.652392342112137</v>
      </c>
      <c r="O35" s="162">
        <f t="shared" ref="O35" si="10">$O$14</f>
        <v>31.750000000000004</v>
      </c>
      <c r="P35" s="162">
        <v>2</v>
      </c>
      <c r="Q35" s="164">
        <f t="shared" ref="Q35" si="11">((C33-C34)^2+(D33-D34)^2)^0.5*O35*P35</f>
        <v>367.49540455488932</v>
      </c>
      <c r="R35" s="185">
        <f t="shared" si="3"/>
        <v>183.74770227744466</v>
      </c>
      <c r="S35" s="185">
        <f t="shared" si="4"/>
        <v>-183.74770227744466</v>
      </c>
      <c r="T35" s="186">
        <f t="shared" si="6"/>
        <v>17.494471291927596</v>
      </c>
      <c r="U35" s="185">
        <f t="shared" si="7"/>
        <v>192.49493792340846</v>
      </c>
      <c r="V35" s="185">
        <f t="shared" si="5"/>
        <v>-192.49493792340846</v>
      </c>
    </row>
    <row r="36" spans="1:22" x14ac:dyDescent="0.2">
      <c r="A36" s="109"/>
      <c r="B36" s="11"/>
      <c r="C36" s="151">
        <f>(C33+Panels!C60)/2</f>
        <v>76.428934343791724</v>
      </c>
      <c r="D36" s="151">
        <f>(D33+Panels!D60)/2</f>
        <v>25.327303214400271</v>
      </c>
      <c r="E36" s="153"/>
      <c r="F36" s="152">
        <f>IF('Cyclops TH'!$I$6="x",C36,0)</f>
        <v>76.428934343791724</v>
      </c>
      <c r="G36" s="152">
        <f>IF('Cyclops TH'!$I$6="x",D36,0)</f>
        <v>25.327303214400271</v>
      </c>
      <c r="H36" s="152">
        <f>SUM(C36:C37)/2</f>
        <v>74.876913342951923</v>
      </c>
      <c r="I36" s="152">
        <f>SUM(D36:D37)/2</f>
        <v>22.433638611605865</v>
      </c>
      <c r="J36" s="152">
        <f>IF('Cyclops TH'!$I$5="x",H36,"")</f>
        <v>74.876913342951923</v>
      </c>
      <c r="K36" s="152">
        <f>IF('Cyclops TH'!$I$5="x",I36,"")</f>
        <v>22.433638611605865</v>
      </c>
      <c r="L36" s="170"/>
      <c r="M36" s="152">
        <f>M35</f>
        <v>13.326196171056068</v>
      </c>
      <c r="N36" s="152">
        <f>N35</f>
        <v>26.652392342112137</v>
      </c>
      <c r="O36" s="152"/>
      <c r="P36" s="152"/>
      <c r="Q36" s="166">
        <f t="shared" ref="Q36:Q37" si="12">Q35</f>
        <v>367.49540455488932</v>
      </c>
      <c r="R36" s="185">
        <f t="shared" si="3"/>
        <v>183.74770227744466</v>
      </c>
      <c r="S36" s="185">
        <f t="shared" si="4"/>
        <v>-183.74770227744466</v>
      </c>
      <c r="T36" s="186">
        <f t="shared" si="6"/>
        <v>17.494471291927596</v>
      </c>
      <c r="U36" s="185">
        <f t="shared" si="7"/>
        <v>192.49493792340846</v>
      </c>
      <c r="V36" s="185">
        <f t="shared" si="5"/>
        <v>-192.49493792340846</v>
      </c>
    </row>
    <row r="37" spans="1:22" x14ac:dyDescent="0.2">
      <c r="A37" s="1">
        <f t="shared" si="2"/>
        <v>44</v>
      </c>
      <c r="B37" s="128">
        <f t="shared" ref="B37" si="13">B34+1</f>
        <v>4</v>
      </c>
      <c r="C37" s="155">
        <f>C34</f>
        <v>73.324892342112136</v>
      </c>
      <c r="D37" s="156">
        <f>D34</f>
        <v>19.539974008811463</v>
      </c>
      <c r="E37" s="157"/>
      <c r="F37" s="156">
        <f>IF('Cyclops TH'!$I$6="x",C37,0)</f>
        <v>73.324892342112136</v>
      </c>
      <c r="G37" s="156">
        <f>IF('Cyclops TH'!$I$6="x",D37,0)</f>
        <v>19.539974008811463</v>
      </c>
      <c r="H37" s="157"/>
      <c r="I37" s="157"/>
      <c r="J37" s="156">
        <f>J36</f>
        <v>74.876913342951923</v>
      </c>
      <c r="K37" s="156">
        <f>K36</f>
        <v>22.433638611605865</v>
      </c>
      <c r="L37" s="171"/>
      <c r="M37" s="156">
        <f>M36</f>
        <v>13.326196171056068</v>
      </c>
      <c r="N37" s="156">
        <f>N36</f>
        <v>26.652392342112137</v>
      </c>
      <c r="O37" s="156"/>
      <c r="P37" s="156"/>
      <c r="Q37" s="167">
        <f t="shared" si="12"/>
        <v>367.49540455488932</v>
      </c>
      <c r="R37" s="185">
        <f t="shared" si="3"/>
        <v>183.74770227744466</v>
      </c>
      <c r="S37" s="185">
        <f t="shared" si="4"/>
        <v>-183.74770227744466</v>
      </c>
      <c r="T37" s="186">
        <f t="shared" si="6"/>
        <v>17.494471291927596</v>
      </c>
      <c r="U37" s="185">
        <f t="shared" si="7"/>
        <v>192.49493792340846</v>
      </c>
      <c r="V37" s="185">
        <f t="shared" si="5"/>
        <v>-192.49493792340846</v>
      </c>
    </row>
    <row r="38" spans="1:22" x14ac:dyDescent="0.2">
      <c r="A38" s="109"/>
      <c r="B38" s="11"/>
      <c r="C38" s="168"/>
      <c r="D38" s="169"/>
      <c r="E38" s="169"/>
      <c r="F38" s="161"/>
      <c r="G38" s="162"/>
      <c r="H38" s="169"/>
      <c r="I38" s="169"/>
      <c r="J38" s="162">
        <f>J37</f>
        <v>74.876913342951923</v>
      </c>
      <c r="K38" s="162">
        <f>K37</f>
        <v>22.433638611605865</v>
      </c>
      <c r="L38" s="163"/>
      <c r="M38" s="162">
        <f>((H36-H33)^2+(I36-I33)^2)^0.5</f>
        <v>1.5520210008397868</v>
      </c>
      <c r="N38" s="162">
        <f>N35+M38</f>
        <v>28.204413342951923</v>
      </c>
      <c r="O38" s="162">
        <f t="shared" ref="O38" si="14">$O$14</f>
        <v>31.750000000000004</v>
      </c>
      <c r="P38" s="162">
        <v>2</v>
      </c>
      <c r="Q38" s="164">
        <f t="shared" ref="Q38" si="15">((C36-C37)^2+(D36-D37)^2)^0.5*O38*P38</f>
        <v>417.01787801826322</v>
      </c>
      <c r="R38" s="185">
        <f t="shared" si="3"/>
        <v>208.50893900913161</v>
      </c>
      <c r="S38" s="185">
        <f t="shared" si="4"/>
        <v>-208.50893900913161</v>
      </c>
      <c r="T38" s="186">
        <f t="shared" si="6"/>
        <v>-29.99047317840234</v>
      </c>
      <c r="U38" s="185">
        <f t="shared" si="7"/>
        <v>193.51370241993044</v>
      </c>
      <c r="V38" s="185">
        <f t="shared" si="5"/>
        <v>-193.51370241993044</v>
      </c>
    </row>
    <row r="39" spans="1:22" x14ac:dyDescent="0.2">
      <c r="A39" s="109"/>
      <c r="B39" s="11"/>
      <c r="C39" s="151">
        <f>(Panels!C60)</f>
        <v>79.532976345471326</v>
      </c>
      <c r="D39" s="152">
        <f>(Panels!D60+D37)/2</f>
        <v>22.433638611605865</v>
      </c>
      <c r="E39" s="153"/>
      <c r="F39" s="152">
        <f>IF('Cyclops TH'!$I$6="x",C39,0)</f>
        <v>79.532976345471326</v>
      </c>
      <c r="G39" s="152">
        <f>IF('Cyclops TH'!$I$6="x",D39,0)</f>
        <v>22.433638611605865</v>
      </c>
      <c r="H39" s="152">
        <f>SUM(C39:C40)/2</f>
        <v>76.428934343791724</v>
      </c>
      <c r="I39" s="152">
        <f>SUM(D39:D40)/2</f>
        <v>20.986806310208664</v>
      </c>
      <c r="J39" s="152">
        <f>IF('Cyclops TH'!$I$5="x",H39,"")</f>
        <v>76.428934343791724</v>
      </c>
      <c r="K39" s="152">
        <f>IF('Cyclops TH'!$I$5="x",I39,"")</f>
        <v>20.986806310208664</v>
      </c>
      <c r="L39" s="153"/>
      <c r="M39" s="152">
        <f>M38</f>
        <v>1.5520210008397868</v>
      </c>
      <c r="N39" s="152">
        <f>N38</f>
        <v>28.204413342951923</v>
      </c>
      <c r="O39" s="152"/>
      <c r="P39" s="152"/>
      <c r="Q39" s="166">
        <f t="shared" ref="Q39:Q40" si="16">Q38</f>
        <v>417.01787801826322</v>
      </c>
      <c r="R39" s="185">
        <f t="shared" si="3"/>
        <v>208.50893900913161</v>
      </c>
      <c r="S39" s="185">
        <f t="shared" si="4"/>
        <v>-208.50893900913161</v>
      </c>
      <c r="T39" s="186">
        <f t="shared" si="6"/>
        <v>-29.99047317840234</v>
      </c>
      <c r="U39" s="185">
        <f t="shared" si="7"/>
        <v>193.51370241993044</v>
      </c>
      <c r="V39" s="185">
        <f t="shared" si="5"/>
        <v>-193.51370241993044</v>
      </c>
    </row>
    <row r="40" spans="1:22" x14ac:dyDescent="0.2">
      <c r="A40" s="1">
        <f t="shared" si="2"/>
        <v>43</v>
      </c>
      <c r="B40" s="128">
        <f t="shared" ref="B40" si="17">B37+1</f>
        <v>5</v>
      </c>
      <c r="C40" s="155">
        <f>C37</f>
        <v>73.324892342112136</v>
      </c>
      <c r="D40" s="156">
        <f>D37</f>
        <v>19.539974008811463</v>
      </c>
      <c r="E40" s="157"/>
      <c r="F40" s="156">
        <f>IF('Cyclops TH'!$I$6="x",C40,0)</f>
        <v>73.324892342112136</v>
      </c>
      <c r="G40" s="156">
        <f>IF('Cyclops TH'!$I$6="x",D40,0)</f>
        <v>19.539974008811463</v>
      </c>
      <c r="H40" s="157"/>
      <c r="I40" s="157"/>
      <c r="J40" s="156">
        <f>J39</f>
        <v>76.428934343791724</v>
      </c>
      <c r="K40" s="156">
        <f>K39</f>
        <v>20.986806310208664</v>
      </c>
      <c r="L40" s="156"/>
      <c r="M40" s="156">
        <f>M39</f>
        <v>1.5520210008397868</v>
      </c>
      <c r="N40" s="156">
        <f>N39</f>
        <v>28.204413342951923</v>
      </c>
      <c r="O40" s="156"/>
      <c r="P40" s="156"/>
      <c r="Q40" s="167">
        <f t="shared" si="16"/>
        <v>417.01787801826322</v>
      </c>
      <c r="R40" s="185">
        <f t="shared" si="3"/>
        <v>208.50893900913161</v>
      </c>
      <c r="S40" s="185">
        <f t="shared" si="4"/>
        <v>-208.50893900913161</v>
      </c>
      <c r="T40" s="186">
        <f t="shared" si="6"/>
        <v>-29.99047317840234</v>
      </c>
      <c r="U40" s="185">
        <f t="shared" si="7"/>
        <v>193.51370241993044</v>
      </c>
      <c r="V40" s="185">
        <f t="shared" si="5"/>
        <v>-193.51370241993044</v>
      </c>
    </row>
    <row r="41" spans="1:22" x14ac:dyDescent="0.2">
      <c r="A41" s="109"/>
      <c r="B41" s="11"/>
      <c r="C41" s="168"/>
      <c r="D41" s="169"/>
      <c r="E41" s="169"/>
      <c r="F41" s="161"/>
      <c r="G41" s="162"/>
      <c r="H41" s="169"/>
      <c r="I41" s="169"/>
      <c r="J41" s="162">
        <f>J40</f>
        <v>76.428934343791724</v>
      </c>
      <c r="K41" s="162">
        <f>K40</f>
        <v>20.986806310208664</v>
      </c>
      <c r="L41" s="169"/>
      <c r="M41" s="162">
        <f>((H39-H36)^2+(I39-I36)^2)^0.5</f>
        <v>2.1218135863958691</v>
      </c>
      <c r="N41" s="162">
        <f>N38+M41</f>
        <v>30.326226929347794</v>
      </c>
      <c r="O41" s="162">
        <f t="shared" ref="O41" si="18">$O$14</f>
        <v>31.750000000000004</v>
      </c>
      <c r="P41" s="162">
        <v>2</v>
      </c>
      <c r="Q41" s="164">
        <f t="shared" ref="Q41" si="19">((C39-C40)^2+(D39-D40)^2)^0.5*O41*P41</f>
        <v>434.93375468433595</v>
      </c>
      <c r="R41" s="185">
        <f t="shared" si="3"/>
        <v>217.46687734216798</v>
      </c>
      <c r="S41" s="185">
        <f t="shared" si="4"/>
        <v>-217.46687734216798</v>
      </c>
      <c r="T41" s="186">
        <f t="shared" si="6"/>
        <v>-45.120783993383554</v>
      </c>
      <c r="U41" s="185">
        <f t="shared" si="7"/>
        <v>194.9064853454762</v>
      </c>
      <c r="V41" s="185">
        <f t="shared" si="5"/>
        <v>-194.9064853454762</v>
      </c>
    </row>
    <row r="42" spans="1:22" x14ac:dyDescent="0.2">
      <c r="A42" s="109"/>
      <c r="B42" s="11"/>
      <c r="C42" s="151">
        <f>C39</f>
        <v>79.532976345471326</v>
      </c>
      <c r="D42" s="152">
        <f>D40</f>
        <v>19.539974008811463</v>
      </c>
      <c r="E42" s="153"/>
      <c r="F42" s="152">
        <f>IF('Cyclops TH'!$I$6="x",C42,0)</f>
        <v>79.532976345471326</v>
      </c>
      <c r="G42" s="152">
        <f>IF('Cyclops TH'!$I$6="x",D42,0)</f>
        <v>19.539974008811463</v>
      </c>
      <c r="H42" s="152">
        <f>SUM(C42:C43)/2</f>
        <v>76.428934343791724</v>
      </c>
      <c r="I42" s="152">
        <f>SUM(D42:D43)/2</f>
        <v>19.539974008811463</v>
      </c>
      <c r="J42" s="152">
        <f>IF('Cyclops TH'!$I$5="x",H42,"")</f>
        <v>76.428934343791724</v>
      </c>
      <c r="K42" s="152">
        <f>IF('Cyclops TH'!$I$5="x",I42,"")</f>
        <v>19.539974008811463</v>
      </c>
      <c r="L42" s="153"/>
      <c r="M42" s="152">
        <f>M41</f>
        <v>2.1218135863958691</v>
      </c>
      <c r="N42" s="152">
        <f>N41</f>
        <v>30.326226929347794</v>
      </c>
      <c r="O42" s="152"/>
      <c r="P42" s="152"/>
      <c r="Q42" s="166">
        <f t="shared" ref="Q42:Q43" si="20">Q41</f>
        <v>434.93375468433595</v>
      </c>
      <c r="R42" s="185">
        <f t="shared" si="3"/>
        <v>217.46687734216798</v>
      </c>
      <c r="S42" s="185">
        <f t="shared" si="4"/>
        <v>-217.46687734216798</v>
      </c>
      <c r="T42" s="186">
        <f t="shared" si="6"/>
        <v>-45.120783993383554</v>
      </c>
      <c r="U42" s="185">
        <f t="shared" si="7"/>
        <v>194.9064853454762</v>
      </c>
      <c r="V42" s="185">
        <f t="shared" si="5"/>
        <v>-194.9064853454762</v>
      </c>
    </row>
    <row r="43" spans="1:22" x14ac:dyDescent="0.2">
      <c r="A43" s="1">
        <f t="shared" si="2"/>
        <v>42</v>
      </c>
      <c r="B43" s="128">
        <f t="shared" ref="B43" si="21">B40+1</f>
        <v>6</v>
      </c>
      <c r="C43" s="155">
        <f>C40</f>
        <v>73.324892342112136</v>
      </c>
      <c r="D43" s="156">
        <f>D40</f>
        <v>19.539974008811463</v>
      </c>
      <c r="E43" s="157"/>
      <c r="F43" s="156">
        <f>IF('Cyclops TH'!$I$6="x",C43,0)</f>
        <v>73.324892342112136</v>
      </c>
      <c r="G43" s="156">
        <f>IF('Cyclops TH'!$I$6="x",D43,0)</f>
        <v>19.539974008811463</v>
      </c>
      <c r="H43" s="157"/>
      <c r="I43" s="157"/>
      <c r="J43" s="156">
        <f>J42</f>
        <v>76.428934343791724</v>
      </c>
      <c r="K43" s="156">
        <f>K42</f>
        <v>19.539974008811463</v>
      </c>
      <c r="L43" s="157"/>
      <c r="M43" s="156">
        <f>M42</f>
        <v>2.1218135863958691</v>
      </c>
      <c r="N43" s="156">
        <f>N42</f>
        <v>30.326226929347794</v>
      </c>
      <c r="O43" s="156"/>
      <c r="P43" s="156"/>
      <c r="Q43" s="167">
        <f t="shared" si="20"/>
        <v>434.93375468433595</v>
      </c>
      <c r="R43" s="185">
        <f t="shared" si="3"/>
        <v>217.46687734216798</v>
      </c>
      <c r="S43" s="185">
        <f t="shared" si="4"/>
        <v>-217.46687734216798</v>
      </c>
      <c r="T43" s="186">
        <f t="shared" si="6"/>
        <v>-45.120783993383554</v>
      </c>
      <c r="U43" s="185">
        <f t="shared" si="7"/>
        <v>194.9064853454762</v>
      </c>
      <c r="V43" s="185">
        <f t="shared" si="5"/>
        <v>-194.9064853454762</v>
      </c>
    </row>
    <row r="44" spans="1:22" x14ac:dyDescent="0.2">
      <c r="A44" s="109"/>
      <c r="B44" s="11"/>
      <c r="C44" s="168"/>
      <c r="D44" s="169"/>
      <c r="E44" s="169"/>
      <c r="F44" s="161"/>
      <c r="G44" s="162"/>
      <c r="H44" s="169"/>
      <c r="I44" s="169"/>
      <c r="J44" s="162">
        <f>J43</f>
        <v>76.428934343791724</v>
      </c>
      <c r="K44" s="162">
        <f>K43</f>
        <v>19.539974008811463</v>
      </c>
      <c r="L44" s="169"/>
      <c r="M44" s="162">
        <f>((H42-H39)^2+(I42-I39)^2)^0.5</f>
        <v>1.4468323013972011</v>
      </c>
      <c r="N44" s="162">
        <f>N41+M44</f>
        <v>31.773059230744995</v>
      </c>
      <c r="O44" s="162">
        <f t="shared" ref="O44" si="22">$O$14</f>
        <v>31.750000000000004</v>
      </c>
      <c r="P44" s="162">
        <v>2</v>
      </c>
      <c r="Q44" s="164">
        <f t="shared" ref="Q44" si="23">((C42-C43)^2+(D42-D43)^2)^0.5*O44*P44</f>
        <v>394.2133342133086</v>
      </c>
      <c r="R44" s="185">
        <f t="shared" si="3"/>
        <v>197.1066671066543</v>
      </c>
      <c r="S44" s="185">
        <f t="shared" si="4"/>
        <v>-197.1066671066543</v>
      </c>
      <c r="T44" s="186">
        <f t="shared" si="6"/>
        <v>-2.5009286818648206</v>
      </c>
      <c r="U44" s="185">
        <f t="shared" si="7"/>
        <v>195.85620276572189</v>
      </c>
      <c r="V44" s="185">
        <f t="shared" si="5"/>
        <v>-195.85620276572189</v>
      </c>
    </row>
    <row r="45" spans="1:22" x14ac:dyDescent="0.2">
      <c r="A45" s="109"/>
      <c r="B45" s="11"/>
      <c r="C45" s="155">
        <f>C42</f>
        <v>79.532976345471326</v>
      </c>
      <c r="D45" s="156">
        <f>Panels!D107</f>
        <v>17.634974008811461</v>
      </c>
      <c r="E45" s="157"/>
      <c r="F45" s="152">
        <f>IF('Cyclops TH'!$I$6="x",C45,0)</f>
        <v>79.532976345471326</v>
      </c>
      <c r="G45" s="152">
        <f>IF('Cyclops TH'!$I$6="x",D45,0)</f>
        <v>17.634974008811461</v>
      </c>
      <c r="H45" s="152">
        <f>SUM(C45:C46)/2</f>
        <v>76.428934343791724</v>
      </c>
      <c r="I45" s="152">
        <f>SUM(D45:D46)/2</f>
        <v>17.634974008811461</v>
      </c>
      <c r="J45" s="152">
        <f>IF('Cyclops TH'!$I$5="x",H45,"")</f>
        <v>76.428934343791724</v>
      </c>
      <c r="K45" s="152">
        <f>IF('Cyclops TH'!$I$5="x",I45,"")</f>
        <v>17.634974008811461</v>
      </c>
      <c r="L45" s="153"/>
      <c r="M45" s="152">
        <f>M44</f>
        <v>1.4468323013972011</v>
      </c>
      <c r="N45" s="152">
        <f>N44</f>
        <v>31.773059230744995</v>
      </c>
      <c r="O45" s="152"/>
      <c r="P45" s="152"/>
      <c r="Q45" s="166">
        <f t="shared" ref="Q45:Q46" si="24">Q44</f>
        <v>394.2133342133086</v>
      </c>
      <c r="R45" s="185">
        <f t="shared" si="3"/>
        <v>197.1066671066543</v>
      </c>
      <c r="S45" s="185">
        <f t="shared" si="4"/>
        <v>-197.1066671066543</v>
      </c>
      <c r="T45" s="186">
        <f t="shared" si="6"/>
        <v>-2.5009286818648206</v>
      </c>
      <c r="U45" s="185">
        <f t="shared" si="7"/>
        <v>195.85620276572189</v>
      </c>
      <c r="V45" s="185">
        <f t="shared" si="5"/>
        <v>-195.85620276572189</v>
      </c>
    </row>
    <row r="46" spans="1:22" ht="12" thickBot="1" x14ac:dyDescent="0.25">
      <c r="A46" s="1">
        <f t="shared" si="2"/>
        <v>41</v>
      </c>
      <c r="B46" s="128">
        <f t="shared" ref="B46" si="25">B43+1</f>
        <v>7</v>
      </c>
      <c r="C46" s="155">
        <f>C43</f>
        <v>73.324892342112136</v>
      </c>
      <c r="D46" s="156">
        <f>D45</f>
        <v>17.634974008811461</v>
      </c>
      <c r="E46" s="157"/>
      <c r="F46" s="156">
        <f>IF('Cyclops TH'!$I$6="x",C46,0)</f>
        <v>73.324892342112136</v>
      </c>
      <c r="G46" s="156">
        <f>IF('Cyclops TH'!$I$6="x",D46,0)</f>
        <v>17.634974008811461</v>
      </c>
      <c r="H46" s="157"/>
      <c r="I46" s="157"/>
      <c r="J46" s="156">
        <f>J45</f>
        <v>76.428934343791724</v>
      </c>
      <c r="K46" s="156">
        <f>K45</f>
        <v>17.634974008811461</v>
      </c>
      <c r="L46" s="157"/>
      <c r="M46" s="156">
        <f>M45</f>
        <v>1.4468323013972011</v>
      </c>
      <c r="N46" s="156">
        <f>N45</f>
        <v>31.773059230744995</v>
      </c>
      <c r="O46" s="156"/>
      <c r="P46" s="156"/>
      <c r="Q46" s="167">
        <f t="shared" si="24"/>
        <v>394.2133342133086</v>
      </c>
      <c r="R46" s="185">
        <f t="shared" si="3"/>
        <v>197.1066671066543</v>
      </c>
      <c r="S46" s="185">
        <f t="shared" si="4"/>
        <v>-197.1066671066543</v>
      </c>
      <c r="T46" s="186">
        <f t="shared" si="6"/>
        <v>-2.5009286818648206</v>
      </c>
      <c r="U46" s="185">
        <f t="shared" si="7"/>
        <v>195.85620276572189</v>
      </c>
      <c r="V46" s="185">
        <f t="shared" si="5"/>
        <v>-195.85620276572189</v>
      </c>
    </row>
    <row r="47" spans="1:22" ht="12" thickBot="1" x14ac:dyDescent="0.25">
      <c r="A47" s="109"/>
      <c r="B47" s="11"/>
      <c r="C47" s="172"/>
      <c r="D47" s="157"/>
      <c r="E47" s="157"/>
      <c r="F47" s="161"/>
      <c r="G47" s="162"/>
      <c r="H47" s="169"/>
      <c r="I47" s="169"/>
      <c r="J47" s="162">
        <f>J46</f>
        <v>76.428934343791724</v>
      </c>
      <c r="K47" s="162">
        <f>K46</f>
        <v>17.634974008811461</v>
      </c>
      <c r="L47" s="169"/>
      <c r="M47" s="162">
        <f>((H45-H42)^2+(I45-I42)^2)^0.5</f>
        <v>1.9050000000000011</v>
      </c>
      <c r="N47" s="162">
        <f>N44+M47</f>
        <v>33.678059230744992</v>
      </c>
      <c r="O47" s="162">
        <f t="shared" ref="O47" si="26">$O$14</f>
        <v>31.750000000000004</v>
      </c>
      <c r="P47" s="162">
        <v>2</v>
      </c>
      <c r="Q47" s="164">
        <f t="shared" ref="Q47" si="27">((C45-C46)^2+(D45-D46)^2)^0.5*O47*P47</f>
        <v>394.2133342133086</v>
      </c>
      <c r="R47" s="185">
        <f t="shared" si="3"/>
        <v>197.1066671066543</v>
      </c>
      <c r="S47" s="185">
        <f t="shared" si="4"/>
        <v>-197.1066671066543</v>
      </c>
      <c r="T47" s="187">
        <f t="shared" si="6"/>
        <v>-7.1140021873361547E-7</v>
      </c>
      <c r="U47" s="185">
        <f t="shared" si="7"/>
        <v>197.10666675095419</v>
      </c>
      <c r="V47" s="185">
        <f t="shared" si="5"/>
        <v>-197.10666675095419</v>
      </c>
    </row>
    <row r="48" spans="1:22" x14ac:dyDescent="0.2">
      <c r="A48" s="109"/>
      <c r="B48" s="11"/>
      <c r="C48" s="151">
        <f>C45</f>
        <v>79.532976345471326</v>
      </c>
      <c r="D48" s="152">
        <f>(D46+Panels!D72)/2</f>
        <v>14.3725954676529</v>
      </c>
      <c r="E48" s="153"/>
      <c r="F48" s="152">
        <f>IF('Cyclops TH'!$I$6="x",C48,0)</f>
        <v>79.532976345471326</v>
      </c>
      <c r="G48" s="152">
        <f>IF('Cyclops TH'!$I$6="x",D48,0)</f>
        <v>14.3725954676529</v>
      </c>
      <c r="H48" s="152">
        <f>SUM(C48:C49)/2</f>
        <v>76.428934343791724</v>
      </c>
      <c r="I48" s="152">
        <f>SUM(D48:D49)/2</f>
        <v>16.003784738232181</v>
      </c>
      <c r="J48" s="152">
        <f>IF('Cyclops TH'!$I$5="x",H48,"")</f>
        <v>76.428934343791724</v>
      </c>
      <c r="K48" s="152">
        <f>IF('Cyclops TH'!$I$5="x",I48,"")</f>
        <v>16.003784738232181</v>
      </c>
      <c r="L48" s="153"/>
      <c r="M48" s="152">
        <f>M47</f>
        <v>1.9050000000000011</v>
      </c>
      <c r="N48" s="152">
        <f>N47</f>
        <v>33.678059230744992</v>
      </c>
      <c r="O48" s="152"/>
      <c r="P48" s="152"/>
      <c r="Q48" s="166">
        <f t="shared" ref="Q48:Q49" si="28">Q47</f>
        <v>394.2133342133086</v>
      </c>
      <c r="R48" s="185">
        <f t="shared" si="3"/>
        <v>197.1066671066543</v>
      </c>
      <c r="S48" s="185">
        <f t="shared" si="4"/>
        <v>-197.1066671066543</v>
      </c>
      <c r="T48" s="186">
        <f t="shared" si="6"/>
        <v>-7.1140021873361547E-7</v>
      </c>
      <c r="U48" s="185">
        <f t="shared" si="7"/>
        <v>197.10666675095419</v>
      </c>
      <c r="V48" s="185">
        <f t="shared" si="5"/>
        <v>-197.10666675095419</v>
      </c>
    </row>
    <row r="49" spans="1:22" x14ac:dyDescent="0.2">
      <c r="A49" s="1">
        <f t="shared" si="2"/>
        <v>40</v>
      </c>
      <c r="B49" s="128">
        <f t="shared" ref="B49" si="29">B46+1</f>
        <v>8</v>
      </c>
      <c r="C49" s="155">
        <f>C46</f>
        <v>73.324892342112136</v>
      </c>
      <c r="D49" s="156">
        <f>D46</f>
        <v>17.634974008811461</v>
      </c>
      <c r="E49" s="157"/>
      <c r="F49" s="156">
        <f>IF('Cyclops TH'!$I$6="x",C49,0)</f>
        <v>73.324892342112136</v>
      </c>
      <c r="G49" s="156">
        <f>IF('Cyclops TH'!$I$6="x",D49,0)</f>
        <v>17.634974008811461</v>
      </c>
      <c r="H49" s="156"/>
      <c r="I49" s="156"/>
      <c r="J49" s="156">
        <f>J48</f>
        <v>76.428934343791724</v>
      </c>
      <c r="K49" s="156">
        <f>K48</f>
        <v>16.003784738232181</v>
      </c>
      <c r="L49" s="157"/>
      <c r="M49" s="156">
        <f>M48</f>
        <v>1.9050000000000011</v>
      </c>
      <c r="N49" s="156">
        <f>N48</f>
        <v>33.678059230744992</v>
      </c>
      <c r="O49" s="156"/>
      <c r="P49" s="156"/>
      <c r="Q49" s="167">
        <f t="shared" si="28"/>
        <v>394.2133342133086</v>
      </c>
      <c r="R49" s="185">
        <f t="shared" si="3"/>
        <v>197.1066671066543</v>
      </c>
      <c r="S49" s="185">
        <f t="shared" si="4"/>
        <v>-197.1066671066543</v>
      </c>
      <c r="T49" s="186">
        <f t="shared" si="6"/>
        <v>-7.1140021873361547E-7</v>
      </c>
      <c r="U49" s="185">
        <f t="shared" si="7"/>
        <v>197.10666675095419</v>
      </c>
      <c r="V49" s="185">
        <f t="shared" si="5"/>
        <v>-197.10666675095419</v>
      </c>
    </row>
    <row r="50" spans="1:22" x14ac:dyDescent="0.2">
      <c r="A50" s="109"/>
      <c r="B50" s="11"/>
      <c r="C50" s="168"/>
      <c r="D50" s="169"/>
      <c r="E50" s="169"/>
      <c r="F50" s="161"/>
      <c r="G50" s="162"/>
      <c r="H50" s="162"/>
      <c r="I50" s="162"/>
      <c r="J50" s="162">
        <f>J49</f>
        <v>76.428934343791724</v>
      </c>
      <c r="K50" s="162">
        <f>K49</f>
        <v>16.003784738232181</v>
      </c>
      <c r="L50" s="169"/>
      <c r="M50" s="162">
        <f>((H48-H45)^2+(I48-I45)^2)^0.5</f>
        <v>1.6311892705792808</v>
      </c>
      <c r="N50" s="162">
        <f>N47+M50</f>
        <v>35.309248501324277</v>
      </c>
      <c r="O50" s="162">
        <f t="shared" ref="O50" si="30">$O$14</f>
        <v>31.750000000000004</v>
      </c>
      <c r="P50" s="162">
        <v>2</v>
      </c>
      <c r="Q50" s="164">
        <f t="shared" ref="Q50" si="31">((C48-C49)^2+(D48-D49)^2)^0.5*O50*P50</f>
        <v>445.33116696804819</v>
      </c>
      <c r="R50" s="185">
        <f t="shared" si="3"/>
        <v>222.6655834840241</v>
      </c>
      <c r="S50" s="185">
        <f t="shared" si="4"/>
        <v>-222.6655834840241</v>
      </c>
      <c r="T50" s="186">
        <f t="shared" si="6"/>
        <v>-48.976370541250787</v>
      </c>
      <c r="U50" s="185">
        <f t="shared" si="7"/>
        <v>198.1773982133987</v>
      </c>
      <c r="V50" s="185">
        <f t="shared" si="5"/>
        <v>-198.1773982133987</v>
      </c>
    </row>
    <row r="51" spans="1:22" x14ac:dyDescent="0.2">
      <c r="A51" s="109"/>
      <c r="B51" s="11"/>
      <c r="C51" s="151">
        <f>(C48+C49)/2</f>
        <v>76.428934343791724</v>
      </c>
      <c r="D51" s="152">
        <f>Panels!D72</f>
        <v>11.11021692649434</v>
      </c>
      <c r="E51" s="153"/>
      <c r="F51" s="152">
        <f>IF('Cyclops TH'!$I$6="x",C51,0)</f>
        <v>76.428934343791724</v>
      </c>
      <c r="G51" s="152">
        <f>IF('Cyclops TH'!$I$6="x",D51,0)</f>
        <v>11.11021692649434</v>
      </c>
      <c r="H51" s="152">
        <f>SUM(C51:C52)/2</f>
        <v>74.876913342951923</v>
      </c>
      <c r="I51" s="152">
        <f>SUM(D51:D52)/2</f>
        <v>14.3725954676529</v>
      </c>
      <c r="J51" s="152">
        <f>IF('Cyclops TH'!$I$5="x",H51,"")</f>
        <v>74.876913342951923</v>
      </c>
      <c r="K51" s="152">
        <f>IF('Cyclops TH'!$I$5="x",I51,"")</f>
        <v>14.3725954676529</v>
      </c>
      <c r="L51" s="153"/>
      <c r="M51" s="152">
        <f>M50</f>
        <v>1.6311892705792808</v>
      </c>
      <c r="N51" s="152">
        <f>N50</f>
        <v>35.309248501324277</v>
      </c>
      <c r="O51" s="152"/>
      <c r="P51" s="152"/>
      <c r="Q51" s="166">
        <f t="shared" ref="Q51:Q52" si="32">Q50</f>
        <v>445.33116696804819</v>
      </c>
      <c r="R51" s="185">
        <f t="shared" si="3"/>
        <v>222.6655834840241</v>
      </c>
      <c r="S51" s="185">
        <f t="shared" si="4"/>
        <v>-222.6655834840241</v>
      </c>
      <c r="T51" s="186">
        <f t="shared" si="6"/>
        <v>-48.976370541250787</v>
      </c>
      <c r="U51" s="185">
        <f t="shared" si="7"/>
        <v>198.1773982133987</v>
      </c>
      <c r="V51" s="185">
        <f t="shared" si="5"/>
        <v>-198.1773982133987</v>
      </c>
    </row>
    <row r="52" spans="1:22" x14ac:dyDescent="0.2">
      <c r="A52" s="1">
        <f t="shared" si="2"/>
        <v>39</v>
      </c>
      <c r="B52" s="128">
        <f t="shared" ref="B52" si="33">B49+1</f>
        <v>9</v>
      </c>
      <c r="C52" s="155">
        <f>C49</f>
        <v>73.324892342112136</v>
      </c>
      <c r="D52" s="156">
        <f>D49</f>
        <v>17.634974008811461</v>
      </c>
      <c r="E52" s="157"/>
      <c r="F52" s="156">
        <f>IF('Cyclops TH'!$I$6="x",C52,0)</f>
        <v>73.324892342112136</v>
      </c>
      <c r="G52" s="156">
        <f>IF('Cyclops TH'!$I$6="x",D52,0)</f>
        <v>17.634974008811461</v>
      </c>
      <c r="H52" s="157"/>
      <c r="I52" s="157"/>
      <c r="J52" s="156">
        <f>J51</f>
        <v>74.876913342951923</v>
      </c>
      <c r="K52" s="156">
        <f>K51</f>
        <v>14.3725954676529</v>
      </c>
      <c r="L52" s="157"/>
      <c r="M52" s="156">
        <f>M51</f>
        <v>1.6311892705792808</v>
      </c>
      <c r="N52" s="156">
        <f>N51</f>
        <v>35.309248501324277</v>
      </c>
      <c r="O52" s="156"/>
      <c r="P52" s="156"/>
      <c r="Q52" s="167">
        <f t="shared" si="32"/>
        <v>445.33116696804819</v>
      </c>
      <c r="R52" s="185">
        <f t="shared" si="3"/>
        <v>222.6655834840241</v>
      </c>
      <c r="S52" s="185">
        <f t="shared" si="4"/>
        <v>-222.6655834840241</v>
      </c>
      <c r="T52" s="186">
        <f t="shared" si="6"/>
        <v>-48.976370541250787</v>
      </c>
      <c r="U52" s="185">
        <f t="shared" si="7"/>
        <v>198.1773982133987</v>
      </c>
      <c r="V52" s="185">
        <f t="shared" si="5"/>
        <v>-198.1773982133987</v>
      </c>
    </row>
    <row r="53" spans="1:22" x14ac:dyDescent="0.2">
      <c r="A53" s="109"/>
      <c r="B53" s="11"/>
      <c r="C53" s="168"/>
      <c r="D53" s="169"/>
      <c r="E53" s="169"/>
      <c r="F53" s="161"/>
      <c r="G53" s="162"/>
      <c r="H53" s="169"/>
      <c r="I53" s="169"/>
      <c r="J53" s="162">
        <f>J52</f>
        <v>74.876913342951923</v>
      </c>
      <c r="K53" s="162">
        <f>K52</f>
        <v>14.3725954676529</v>
      </c>
      <c r="L53" s="169"/>
      <c r="M53" s="162">
        <f>((H51-H48)^2+(I51-I48)^2)^0.5</f>
        <v>2.2515655938703505</v>
      </c>
      <c r="N53" s="162">
        <f>N50+M53</f>
        <v>37.56081409519463</v>
      </c>
      <c r="O53" s="162">
        <f t="shared" ref="O53" si="34">$O$14</f>
        <v>31.750000000000004</v>
      </c>
      <c r="P53" s="162">
        <v>2</v>
      </c>
      <c r="Q53" s="164">
        <f t="shared" ref="Q53" si="35">((C51-C52)^2+(D51-D52)^2)^0.5*O53*P53</f>
        <v>458.81785037647865</v>
      </c>
      <c r="R53" s="185">
        <f t="shared" si="3"/>
        <v>229.40892518823932</v>
      </c>
      <c r="S53" s="185">
        <f t="shared" si="4"/>
        <v>-229.40892518823932</v>
      </c>
      <c r="T53" s="186">
        <f t="shared" si="6"/>
        <v>-59.507146668292137</v>
      </c>
      <c r="U53" s="185">
        <f t="shared" si="7"/>
        <v>199.65535185409325</v>
      </c>
      <c r="V53" s="185">
        <f t="shared" si="5"/>
        <v>-199.65535185409325</v>
      </c>
    </row>
    <row r="54" spans="1:22" x14ac:dyDescent="0.2">
      <c r="A54" s="109"/>
      <c r="B54" s="11"/>
      <c r="C54" s="151">
        <f>C52</f>
        <v>73.324892342112136</v>
      </c>
      <c r="D54" s="152">
        <f>D51</f>
        <v>11.11021692649434</v>
      </c>
      <c r="E54" s="153"/>
      <c r="F54" s="152">
        <f>IF('Cyclops TH'!$I$6="x",C54,0)</f>
        <v>73.324892342112136</v>
      </c>
      <c r="G54" s="152">
        <f>IF('Cyclops TH'!$I$6="x",D54,0)</f>
        <v>11.11021692649434</v>
      </c>
      <c r="H54" s="152">
        <f>SUM(C54:C55)/2</f>
        <v>73.324892342112136</v>
      </c>
      <c r="I54" s="152">
        <f>SUM(D54:D55)/2</f>
        <v>14.3725954676529</v>
      </c>
      <c r="J54" s="152">
        <f>IF('Cyclops TH'!$I$5="x",H54,"")</f>
        <v>73.324892342112136</v>
      </c>
      <c r="K54" s="152">
        <f>IF('Cyclops TH'!$I$5="x",I54,"")</f>
        <v>14.3725954676529</v>
      </c>
      <c r="L54" s="153"/>
      <c r="M54" s="152">
        <f>M53</f>
        <v>2.2515655938703505</v>
      </c>
      <c r="N54" s="152">
        <f>N53</f>
        <v>37.56081409519463</v>
      </c>
      <c r="O54" s="152"/>
      <c r="P54" s="152"/>
      <c r="Q54" s="166">
        <f t="shared" ref="Q54:Q55" si="36">Q53</f>
        <v>458.81785037647865</v>
      </c>
      <c r="R54" s="185">
        <f t="shared" si="3"/>
        <v>229.40892518823932</v>
      </c>
      <c r="S54" s="185">
        <f t="shared" si="4"/>
        <v>-229.40892518823932</v>
      </c>
      <c r="T54" s="186">
        <f t="shared" si="6"/>
        <v>-59.507146668292137</v>
      </c>
      <c r="U54" s="185">
        <f t="shared" si="7"/>
        <v>199.65535185409325</v>
      </c>
      <c r="V54" s="185">
        <f t="shared" si="5"/>
        <v>-199.65535185409325</v>
      </c>
    </row>
    <row r="55" spans="1:22" x14ac:dyDescent="0.2">
      <c r="A55" s="1">
        <f t="shared" si="2"/>
        <v>38</v>
      </c>
      <c r="B55" s="128">
        <f t="shared" ref="B55" si="37">B52+1</f>
        <v>10</v>
      </c>
      <c r="C55" s="155">
        <f>C52</f>
        <v>73.324892342112136</v>
      </c>
      <c r="D55" s="156">
        <f>D52</f>
        <v>17.634974008811461</v>
      </c>
      <c r="E55" s="157"/>
      <c r="F55" s="156">
        <f>IF('Cyclops TH'!$I$6="x",C55,0)</f>
        <v>73.324892342112136</v>
      </c>
      <c r="G55" s="156">
        <f>IF('Cyclops TH'!$I$6="x",D55,0)</f>
        <v>17.634974008811461</v>
      </c>
      <c r="H55" s="157"/>
      <c r="I55" s="157"/>
      <c r="J55" s="156">
        <f>J54</f>
        <v>73.324892342112136</v>
      </c>
      <c r="K55" s="156">
        <f>K54</f>
        <v>14.3725954676529</v>
      </c>
      <c r="L55" s="157"/>
      <c r="M55" s="156">
        <f>M54</f>
        <v>2.2515655938703505</v>
      </c>
      <c r="N55" s="156">
        <f>N54</f>
        <v>37.56081409519463</v>
      </c>
      <c r="O55" s="156"/>
      <c r="P55" s="156"/>
      <c r="Q55" s="167">
        <f t="shared" si="36"/>
        <v>458.81785037647865</v>
      </c>
      <c r="R55" s="185">
        <f t="shared" si="3"/>
        <v>229.40892518823932</v>
      </c>
      <c r="S55" s="185">
        <f t="shared" si="4"/>
        <v>-229.40892518823932</v>
      </c>
      <c r="T55" s="186">
        <f t="shared" si="6"/>
        <v>-59.507146668292137</v>
      </c>
      <c r="U55" s="185">
        <f t="shared" si="7"/>
        <v>199.65535185409325</v>
      </c>
      <c r="V55" s="185">
        <f t="shared" si="5"/>
        <v>-199.65535185409325</v>
      </c>
    </row>
    <row r="56" spans="1:22" x14ac:dyDescent="0.2">
      <c r="A56" s="109"/>
      <c r="B56" s="11"/>
      <c r="C56" s="168"/>
      <c r="D56" s="169"/>
      <c r="E56" s="169"/>
      <c r="F56" s="161"/>
      <c r="G56" s="162"/>
      <c r="H56" s="169"/>
      <c r="I56" s="169"/>
      <c r="J56" s="162">
        <f>J55</f>
        <v>73.324892342112136</v>
      </c>
      <c r="K56" s="162">
        <f>K55</f>
        <v>14.3725954676529</v>
      </c>
      <c r="L56" s="169"/>
      <c r="M56" s="162">
        <f>((H54-H51)^2+(I54-I51)^2)^0.5</f>
        <v>1.5520210008397868</v>
      </c>
      <c r="N56" s="162">
        <f>N53+M56</f>
        <v>39.112835096034416</v>
      </c>
      <c r="O56" s="162">
        <f t="shared" ref="O56" si="38">$O$14</f>
        <v>31.750000000000004</v>
      </c>
      <c r="P56" s="162">
        <v>2</v>
      </c>
      <c r="Q56" s="164">
        <f t="shared" ref="Q56" si="39">((C54-C55)^2+(D54-D55)^2)^0.5*O56*P56</f>
        <v>414.32207472713725</v>
      </c>
      <c r="R56" s="185">
        <f t="shared" si="3"/>
        <v>207.16103736356862</v>
      </c>
      <c r="S56" s="185">
        <f t="shared" si="4"/>
        <v>-207.16103736356862</v>
      </c>
      <c r="T56" s="186">
        <f t="shared" si="6"/>
        <v>-12.973842025906777</v>
      </c>
      <c r="U56" s="185">
        <f t="shared" si="7"/>
        <v>200.67411635061524</v>
      </c>
      <c r="V56" s="185">
        <f t="shared" si="5"/>
        <v>-200.67411635061524</v>
      </c>
    </row>
    <row r="57" spans="1:22" x14ac:dyDescent="0.2">
      <c r="A57" s="109"/>
      <c r="B57" s="11"/>
      <c r="C57" s="151">
        <f>(C54+C60)/2</f>
        <v>63.442101029721769</v>
      </c>
      <c r="D57" s="152">
        <f>D54</f>
        <v>11.11021692649434</v>
      </c>
      <c r="E57" s="153"/>
      <c r="F57" s="152">
        <f>IF('Cyclops TH'!$I$6="x",C57,0)</f>
        <v>63.442101029721769</v>
      </c>
      <c r="G57" s="152">
        <f>IF('Cyclops TH'!$I$6="x",D57,0)</f>
        <v>11.11021692649434</v>
      </c>
      <c r="H57" s="152">
        <f>SUM(C57:C58)/2</f>
        <v>63.442101029721769</v>
      </c>
      <c r="I57" s="152">
        <f>SUM(D57:D58)/2</f>
        <v>14.3725954676529</v>
      </c>
      <c r="J57" s="152">
        <f>IF('Cyclops TH'!$I$5="x",H57,"")</f>
        <v>63.442101029721769</v>
      </c>
      <c r="K57" s="152">
        <f>IF('Cyclops TH'!$I$5="x",I57,"")</f>
        <v>14.3725954676529</v>
      </c>
      <c r="L57" s="153"/>
      <c r="M57" s="152">
        <f>M56</f>
        <v>1.5520210008397868</v>
      </c>
      <c r="N57" s="152">
        <f>N56</f>
        <v>39.112835096034416</v>
      </c>
      <c r="O57" s="152"/>
      <c r="P57" s="152"/>
      <c r="Q57" s="166">
        <f t="shared" ref="Q57:Q58" si="40">Q56</f>
        <v>414.32207472713725</v>
      </c>
      <c r="R57" s="185">
        <f t="shared" si="3"/>
        <v>207.16103736356862</v>
      </c>
      <c r="S57" s="185">
        <f t="shared" si="4"/>
        <v>-207.16103736356862</v>
      </c>
      <c r="T57" s="186">
        <f t="shared" si="6"/>
        <v>-12.973842025906777</v>
      </c>
      <c r="U57" s="185">
        <f t="shared" si="7"/>
        <v>200.67411635061524</v>
      </c>
      <c r="V57" s="185">
        <f t="shared" si="5"/>
        <v>-200.67411635061524</v>
      </c>
    </row>
    <row r="58" spans="1:22" ht="12" thickBot="1" x14ac:dyDescent="0.25">
      <c r="A58" s="1">
        <f t="shared" si="2"/>
        <v>37</v>
      </c>
      <c r="B58" s="128">
        <f t="shared" ref="B58" si="41">B55+1</f>
        <v>11</v>
      </c>
      <c r="C58" s="155">
        <f>(C55+C61)/2</f>
        <v>63.442101029721769</v>
      </c>
      <c r="D58" s="156">
        <f>D55</f>
        <v>17.634974008811461</v>
      </c>
      <c r="E58" s="157"/>
      <c r="F58" s="156">
        <f>IF('Cyclops TH'!$I$6="x",C58,0)</f>
        <v>63.442101029721769</v>
      </c>
      <c r="G58" s="156">
        <f>IF('Cyclops TH'!$I$6="x",D58,0)</f>
        <v>17.634974008811461</v>
      </c>
      <c r="H58" s="157"/>
      <c r="I58" s="157"/>
      <c r="J58" s="156">
        <f>J57</f>
        <v>63.442101029721769</v>
      </c>
      <c r="K58" s="156">
        <f>K57</f>
        <v>14.3725954676529</v>
      </c>
      <c r="L58" s="157"/>
      <c r="M58" s="156">
        <f>M57</f>
        <v>1.5520210008397868</v>
      </c>
      <c r="N58" s="156">
        <f>N57</f>
        <v>39.112835096034416</v>
      </c>
      <c r="O58" s="156"/>
      <c r="P58" s="156"/>
      <c r="Q58" s="167">
        <f t="shared" si="40"/>
        <v>414.32207472713725</v>
      </c>
      <c r="R58" s="185">
        <f t="shared" si="3"/>
        <v>207.16103736356862</v>
      </c>
      <c r="S58" s="185">
        <f t="shared" si="4"/>
        <v>-207.16103736356862</v>
      </c>
      <c r="T58" s="186">
        <f t="shared" si="6"/>
        <v>-12.973842025906777</v>
      </c>
      <c r="U58" s="185">
        <f t="shared" si="7"/>
        <v>200.67411635061524</v>
      </c>
      <c r="V58" s="185">
        <f t="shared" si="5"/>
        <v>-200.67411635061524</v>
      </c>
    </row>
    <row r="59" spans="1:22" ht="12" thickBot="1" x14ac:dyDescent="0.25">
      <c r="A59" s="109"/>
      <c r="B59" s="11"/>
      <c r="C59" s="168"/>
      <c r="D59" s="169"/>
      <c r="E59" s="169"/>
      <c r="F59" s="161"/>
      <c r="G59" s="162"/>
      <c r="H59" s="169"/>
      <c r="I59" s="169"/>
      <c r="J59" s="162">
        <f>J58</f>
        <v>63.442101029721769</v>
      </c>
      <c r="K59" s="162">
        <f>K58</f>
        <v>14.3725954676529</v>
      </c>
      <c r="L59" s="169"/>
      <c r="M59" s="162">
        <f>((H57-H54)^2+(I57-I54)^2)^0.5</f>
        <v>9.882791312390367</v>
      </c>
      <c r="N59" s="162">
        <f>N56+M59</f>
        <v>48.995626408424783</v>
      </c>
      <c r="O59" s="162">
        <f t="shared" ref="O59" si="42">$O$14</f>
        <v>31.750000000000004</v>
      </c>
      <c r="P59" s="162">
        <v>2</v>
      </c>
      <c r="Q59" s="164">
        <f t="shared" ref="Q59" si="43">((C57-C58)^2+(D57-D58)^2)^0.5*O59*P59</f>
        <v>414.32207472713725</v>
      </c>
      <c r="R59" s="185">
        <f t="shared" si="3"/>
        <v>207.16103736356862</v>
      </c>
      <c r="S59" s="185">
        <f t="shared" si="4"/>
        <v>-207.16103736356862</v>
      </c>
      <c r="T59" s="187">
        <f t="shared" si="6"/>
        <v>5.1451972166205451E-4</v>
      </c>
      <c r="U59" s="185">
        <f t="shared" si="7"/>
        <v>207.16129462342946</v>
      </c>
      <c r="V59" s="185">
        <f t="shared" si="5"/>
        <v>-207.16129462342946</v>
      </c>
    </row>
    <row r="60" spans="1:22" x14ac:dyDescent="0.2">
      <c r="A60" s="109"/>
      <c r="B60" s="11"/>
      <c r="C60" s="151">
        <f>Panels!C71</f>
        <v>53.559309717331395</v>
      </c>
      <c r="D60" s="152">
        <f>D55</f>
        <v>17.634974008811461</v>
      </c>
      <c r="E60" s="153"/>
      <c r="F60" s="152">
        <f>IF('Cyclops TH'!$I$6="x",C60,0)</f>
        <v>53.559309717331395</v>
      </c>
      <c r="G60" s="152">
        <f>IF('Cyclops TH'!$I$6="x",D60,0)</f>
        <v>17.634974008811461</v>
      </c>
      <c r="H60" s="152">
        <f>SUM(C60:C61)/2</f>
        <v>53.559309717331395</v>
      </c>
      <c r="I60" s="152">
        <f>SUM(D60:D61)/2</f>
        <v>14.3725954676529</v>
      </c>
      <c r="J60" s="152">
        <f>IF('Cyclops TH'!$I$5="x",H60,"")</f>
        <v>53.559309717331395</v>
      </c>
      <c r="K60" s="152">
        <f>IF('Cyclops TH'!$I$5="x",I60,"")</f>
        <v>14.3725954676529</v>
      </c>
      <c r="L60" s="153"/>
      <c r="M60" s="152">
        <f>M59</f>
        <v>9.882791312390367</v>
      </c>
      <c r="N60" s="152">
        <f>N59</f>
        <v>48.995626408424783</v>
      </c>
      <c r="O60" s="152"/>
      <c r="P60" s="152"/>
      <c r="Q60" s="166">
        <f t="shared" ref="Q60:Q61" si="44">Q59</f>
        <v>414.32207472713725</v>
      </c>
      <c r="R60" s="185">
        <f t="shared" si="3"/>
        <v>207.16103736356862</v>
      </c>
      <c r="S60" s="185">
        <f t="shared" si="4"/>
        <v>-207.16103736356862</v>
      </c>
      <c r="T60" s="186">
        <f t="shared" si="6"/>
        <v>5.1451972166205451E-4</v>
      </c>
      <c r="U60" s="185">
        <f t="shared" si="7"/>
        <v>207.16129462342946</v>
      </c>
      <c r="V60" s="185">
        <f t="shared" si="5"/>
        <v>-207.16129462342946</v>
      </c>
    </row>
    <row r="61" spans="1:22" x14ac:dyDescent="0.2">
      <c r="A61" s="1">
        <f t="shared" si="2"/>
        <v>36</v>
      </c>
      <c r="B61" s="128">
        <f t="shared" ref="B61" si="45">B58+1</f>
        <v>12</v>
      </c>
      <c r="C61" s="155">
        <f>C60</f>
        <v>53.559309717331395</v>
      </c>
      <c r="D61" s="156">
        <f>D54</f>
        <v>11.11021692649434</v>
      </c>
      <c r="E61" s="157"/>
      <c r="F61" s="156">
        <f>IF('Cyclops TH'!$I$6="x",C61,0)</f>
        <v>53.559309717331395</v>
      </c>
      <c r="G61" s="156">
        <f>IF('Cyclops TH'!$I$6="x",D61,0)</f>
        <v>11.11021692649434</v>
      </c>
      <c r="H61" s="173"/>
      <c r="I61" s="174"/>
      <c r="J61" s="156">
        <f>J60</f>
        <v>53.559309717331395</v>
      </c>
      <c r="K61" s="156">
        <f>K60</f>
        <v>14.3725954676529</v>
      </c>
      <c r="L61" s="157"/>
      <c r="M61" s="156">
        <f>M60</f>
        <v>9.882791312390367</v>
      </c>
      <c r="N61" s="156">
        <f>N60</f>
        <v>48.995626408424783</v>
      </c>
      <c r="O61" s="156"/>
      <c r="P61" s="156"/>
      <c r="Q61" s="167">
        <f t="shared" si="44"/>
        <v>414.32207472713725</v>
      </c>
      <c r="R61" s="185">
        <f t="shared" ref="R61:R92" si="46">Q61/2</f>
        <v>207.16103736356862</v>
      </c>
      <c r="S61" s="185">
        <f t="shared" ref="S61:S92" si="47">-R61</f>
        <v>-207.16103736356862</v>
      </c>
      <c r="T61" s="186">
        <f t="shared" si="6"/>
        <v>5.1451972166205451E-4</v>
      </c>
      <c r="U61" s="185">
        <f t="shared" si="7"/>
        <v>207.16129462342946</v>
      </c>
      <c r="V61" s="185">
        <f t="shared" ref="V61:V92" si="48">-U61</f>
        <v>-207.16129462342946</v>
      </c>
    </row>
    <row r="62" spans="1:22" x14ac:dyDescent="0.2">
      <c r="A62" s="109"/>
      <c r="B62" s="11"/>
      <c r="C62" s="159"/>
      <c r="D62" s="160"/>
      <c r="E62" s="160"/>
      <c r="F62" s="161"/>
      <c r="G62" s="162"/>
      <c r="H62" s="160"/>
      <c r="I62" s="161"/>
      <c r="J62" s="162">
        <f>J61</f>
        <v>53.559309717331395</v>
      </c>
      <c r="K62" s="162">
        <f>K61</f>
        <v>14.3725954676529</v>
      </c>
      <c r="L62" s="169"/>
      <c r="M62" s="162">
        <f>((H60-H57)^2+(I60-I57)^2)^0.5</f>
        <v>9.8827913123903741</v>
      </c>
      <c r="N62" s="162">
        <f>N59+M62</f>
        <v>58.878417720815158</v>
      </c>
      <c r="O62" s="162">
        <f t="shared" ref="O62" si="49">$O$14</f>
        <v>31.750000000000004</v>
      </c>
      <c r="P62" s="162">
        <v>2</v>
      </c>
      <c r="Q62" s="164">
        <f t="shared" ref="Q62" si="50">((C60-C61)^2+(D60-D61)^2)^0.5*O62*P62</f>
        <v>414.32207472713725</v>
      </c>
      <c r="R62" s="185">
        <f t="shared" si="46"/>
        <v>207.16103736356862</v>
      </c>
      <c r="S62" s="185">
        <f t="shared" si="47"/>
        <v>-207.16103736356862</v>
      </c>
      <c r="T62" s="186">
        <f t="shared" si="6"/>
        <v>12.974871065350101</v>
      </c>
      <c r="U62" s="185">
        <f t="shared" si="7"/>
        <v>213.64847289624367</v>
      </c>
      <c r="V62" s="185">
        <f t="shared" si="48"/>
        <v>-213.64847289624367</v>
      </c>
    </row>
    <row r="63" spans="1:22" x14ac:dyDescent="0.2">
      <c r="A63" s="109"/>
      <c r="B63" s="11"/>
      <c r="C63" s="151">
        <f>(Panels!C108+C60)/2</f>
        <v>50.115904858665701</v>
      </c>
      <c r="D63" s="152">
        <f>D60</f>
        <v>17.634974008811461</v>
      </c>
      <c r="E63" s="173"/>
      <c r="F63" s="152">
        <f>IF('Cyclops TH'!$I$6="x",C63,0)</f>
        <v>50.115904858665701</v>
      </c>
      <c r="G63" s="152">
        <f>IF('Cyclops TH'!$I$6="x",D63,0)</f>
        <v>17.634974008811461</v>
      </c>
      <c r="H63" s="152">
        <f>SUM(C63:C64)/2</f>
        <v>51.837607287998551</v>
      </c>
      <c r="I63" s="152">
        <f>SUM(D63:D64)/2</f>
        <v>14.3725954676529</v>
      </c>
      <c r="J63" s="152">
        <f>IF('Cyclops TH'!$I$5="x",H63,"")</f>
        <v>51.837607287998551</v>
      </c>
      <c r="K63" s="152">
        <f>IF('Cyclops TH'!$I$5="x",I63,"")</f>
        <v>14.3725954676529</v>
      </c>
      <c r="L63" s="153"/>
      <c r="M63" s="152">
        <f>M62</f>
        <v>9.8827913123903741</v>
      </c>
      <c r="N63" s="152">
        <f>N62</f>
        <v>58.878417720815158</v>
      </c>
      <c r="O63" s="152"/>
      <c r="P63" s="152"/>
      <c r="Q63" s="166">
        <f t="shared" ref="Q63:Q64" si="51">Q62</f>
        <v>414.32207472713725</v>
      </c>
      <c r="R63" s="185">
        <f t="shared" si="46"/>
        <v>207.16103736356862</v>
      </c>
      <c r="S63" s="185">
        <f t="shared" si="47"/>
        <v>-207.16103736356862</v>
      </c>
      <c r="T63" s="186">
        <f t="shared" si="6"/>
        <v>12.974871065350101</v>
      </c>
      <c r="U63" s="185">
        <f t="shared" si="7"/>
        <v>213.64847289624367</v>
      </c>
      <c r="V63" s="185">
        <f t="shared" si="48"/>
        <v>-213.64847289624367</v>
      </c>
    </row>
    <row r="64" spans="1:22" x14ac:dyDescent="0.2">
      <c r="A64" s="1">
        <f t="shared" si="2"/>
        <v>35</v>
      </c>
      <c r="B64" s="128">
        <f t="shared" ref="B64" si="52">B61+1</f>
        <v>13</v>
      </c>
      <c r="C64" s="155">
        <f>C61</f>
        <v>53.559309717331395</v>
      </c>
      <c r="D64" s="156">
        <f>D61</f>
        <v>11.11021692649434</v>
      </c>
      <c r="E64" s="173"/>
      <c r="F64" s="156">
        <f>IF('Cyclops TH'!$I$6="x",C64,0)</f>
        <v>53.559309717331395</v>
      </c>
      <c r="G64" s="156">
        <f>IF('Cyclops TH'!$I$6="x",D64,0)</f>
        <v>11.11021692649434</v>
      </c>
      <c r="H64" s="157"/>
      <c r="I64" s="157"/>
      <c r="J64" s="156">
        <f>J63</f>
        <v>51.837607287998551</v>
      </c>
      <c r="K64" s="156">
        <f>K63</f>
        <v>14.3725954676529</v>
      </c>
      <c r="L64" s="157"/>
      <c r="M64" s="156">
        <f>M63</f>
        <v>9.8827913123903741</v>
      </c>
      <c r="N64" s="156">
        <f>N63</f>
        <v>58.878417720815158</v>
      </c>
      <c r="O64" s="156"/>
      <c r="P64" s="156"/>
      <c r="Q64" s="167">
        <f t="shared" si="51"/>
        <v>414.32207472713725</v>
      </c>
      <c r="R64" s="185">
        <f t="shared" si="46"/>
        <v>207.16103736356862</v>
      </c>
      <c r="S64" s="185">
        <f t="shared" si="47"/>
        <v>-207.16103736356862</v>
      </c>
      <c r="T64" s="186">
        <f t="shared" si="6"/>
        <v>12.974871065350101</v>
      </c>
      <c r="U64" s="185">
        <f t="shared" si="7"/>
        <v>213.64847289624367</v>
      </c>
      <c r="V64" s="185">
        <f t="shared" si="48"/>
        <v>-213.64847289624367</v>
      </c>
    </row>
    <row r="65" spans="1:22" x14ac:dyDescent="0.2">
      <c r="A65" s="109"/>
      <c r="B65" s="11"/>
      <c r="C65" s="175"/>
      <c r="D65" s="173"/>
      <c r="E65" s="173"/>
      <c r="F65" s="161"/>
      <c r="G65" s="162"/>
      <c r="H65" s="169"/>
      <c r="I65" s="169"/>
      <c r="J65" s="162">
        <f>J64</f>
        <v>51.837607287998551</v>
      </c>
      <c r="K65" s="162">
        <f>K64</f>
        <v>14.3725954676529</v>
      </c>
      <c r="L65" s="169"/>
      <c r="M65" s="162">
        <f>((H63-H60)^2+(I63-I60)^2)^0.5</f>
        <v>1.7217024293328436</v>
      </c>
      <c r="N65" s="162">
        <f>N62+M65</f>
        <v>60.600120150148001</v>
      </c>
      <c r="O65" s="162">
        <f t="shared" ref="O65" si="53">$O$14</f>
        <v>31.750000000000004</v>
      </c>
      <c r="P65" s="162">
        <v>2</v>
      </c>
      <c r="Q65" s="164">
        <f t="shared" ref="Q65" si="54">((C63-C64)^2+(D63-D64)^2)^0.5*O65*P65</f>
        <v>468.47979586407627</v>
      </c>
      <c r="R65" s="185">
        <f t="shared" si="46"/>
        <v>234.23989793203813</v>
      </c>
      <c r="S65" s="185">
        <f t="shared" si="47"/>
        <v>-234.23989793203813</v>
      </c>
      <c r="T65" s="186">
        <f t="shared" si="6"/>
        <v>-38.922559382698921</v>
      </c>
      <c r="U65" s="185">
        <f t="shared" si="7"/>
        <v>214.77861824068867</v>
      </c>
      <c r="V65" s="185">
        <f t="shared" si="48"/>
        <v>-214.77861824068867</v>
      </c>
    </row>
    <row r="66" spans="1:22" x14ac:dyDescent="0.2">
      <c r="A66" s="109"/>
      <c r="B66" s="11"/>
      <c r="C66" s="151">
        <f>Panels!C108</f>
        <v>46.672499999999999</v>
      </c>
      <c r="D66" s="152">
        <f>(D63+D67)/2</f>
        <v>14.3725954676529</v>
      </c>
      <c r="E66" s="153"/>
      <c r="F66" s="152">
        <f>IF('Cyclops TH'!$I$6="x",C66,0)</f>
        <v>46.672499999999999</v>
      </c>
      <c r="G66" s="152">
        <f>IF('Cyclops TH'!$I$6="x",D66,0)</f>
        <v>14.3725954676529</v>
      </c>
      <c r="H66" s="152">
        <f>SUM(C66:C67)/2</f>
        <v>50.115904858665701</v>
      </c>
      <c r="I66" s="152">
        <f>SUM(D66:D67)/2</f>
        <v>12.741406197073619</v>
      </c>
      <c r="J66" s="152">
        <f>IF('Cyclops TH'!$I$5="x",H66,"")</f>
        <v>50.115904858665701</v>
      </c>
      <c r="K66" s="152">
        <f>IF('Cyclops TH'!$I$5="x",I66,"")</f>
        <v>12.741406197073619</v>
      </c>
      <c r="L66" s="153"/>
      <c r="M66" s="152">
        <f>M65</f>
        <v>1.7217024293328436</v>
      </c>
      <c r="N66" s="152">
        <f>N65</f>
        <v>60.600120150148001</v>
      </c>
      <c r="O66" s="152"/>
      <c r="P66" s="152"/>
      <c r="Q66" s="166">
        <f t="shared" ref="Q66:Q67" si="55">Q65</f>
        <v>468.47979586407627</v>
      </c>
      <c r="R66" s="185">
        <f t="shared" si="46"/>
        <v>234.23989793203813</v>
      </c>
      <c r="S66" s="185">
        <f t="shared" si="47"/>
        <v>-234.23989793203813</v>
      </c>
      <c r="T66" s="186">
        <f t="shared" si="6"/>
        <v>-38.922559382698921</v>
      </c>
      <c r="U66" s="185">
        <f t="shared" si="7"/>
        <v>214.77861824068867</v>
      </c>
      <c r="V66" s="185">
        <f t="shared" si="48"/>
        <v>-214.77861824068867</v>
      </c>
    </row>
    <row r="67" spans="1:22" x14ac:dyDescent="0.2">
      <c r="A67" s="1">
        <f t="shared" si="2"/>
        <v>34</v>
      </c>
      <c r="B67" s="128">
        <f t="shared" ref="B67" si="56">B64+1</f>
        <v>14</v>
      </c>
      <c r="C67" s="155">
        <f>C64</f>
        <v>53.559309717331395</v>
      </c>
      <c r="D67" s="155">
        <f>D64</f>
        <v>11.11021692649434</v>
      </c>
      <c r="E67" s="157"/>
      <c r="F67" s="156">
        <f>IF('Cyclops TH'!$I$6="x",C67,0)</f>
        <v>53.559309717331395</v>
      </c>
      <c r="G67" s="156">
        <f>IF('Cyclops TH'!$I$6="x",D67,0)</f>
        <v>11.11021692649434</v>
      </c>
      <c r="H67" s="157"/>
      <c r="I67" s="157"/>
      <c r="J67" s="156">
        <f>J66</f>
        <v>50.115904858665701</v>
      </c>
      <c r="K67" s="156">
        <f>K66</f>
        <v>12.741406197073619</v>
      </c>
      <c r="L67" s="157"/>
      <c r="M67" s="156">
        <f>M66</f>
        <v>1.7217024293328436</v>
      </c>
      <c r="N67" s="156">
        <f>N66</f>
        <v>60.600120150148001</v>
      </c>
      <c r="O67" s="156"/>
      <c r="P67" s="156"/>
      <c r="Q67" s="167">
        <f t="shared" si="55"/>
        <v>468.47979586407627</v>
      </c>
      <c r="R67" s="185">
        <f t="shared" si="46"/>
        <v>234.23989793203813</v>
      </c>
      <c r="S67" s="185">
        <f t="shared" si="47"/>
        <v>-234.23989793203813</v>
      </c>
      <c r="T67" s="186">
        <f t="shared" si="6"/>
        <v>-38.922559382698921</v>
      </c>
      <c r="U67" s="185">
        <f t="shared" si="7"/>
        <v>214.77861824068867</v>
      </c>
      <c r="V67" s="185">
        <f t="shared" si="48"/>
        <v>-214.77861824068867</v>
      </c>
    </row>
    <row r="68" spans="1:22" x14ac:dyDescent="0.2">
      <c r="A68" s="109"/>
      <c r="B68" s="11"/>
      <c r="C68" s="168"/>
      <c r="D68" s="169"/>
      <c r="E68" s="169"/>
      <c r="F68" s="161"/>
      <c r="G68" s="162"/>
      <c r="H68" s="169"/>
      <c r="I68" s="169"/>
      <c r="J68" s="162">
        <f>J67</f>
        <v>50.115904858665701</v>
      </c>
      <c r="K68" s="162">
        <f>K67</f>
        <v>12.741406197073619</v>
      </c>
      <c r="L68" s="169"/>
      <c r="M68" s="162">
        <f>((H66-H63)^2+(I66-I63)^2)^0.5</f>
        <v>2.3717161912049267</v>
      </c>
      <c r="N68" s="162">
        <f>N65+M68</f>
        <v>62.971836341352926</v>
      </c>
      <c r="O68" s="162">
        <f t="shared" ref="O68" si="57">$O$14</f>
        <v>31.750000000000004</v>
      </c>
      <c r="P68" s="162">
        <v>2</v>
      </c>
      <c r="Q68" s="164">
        <f t="shared" ref="Q68" si="58">((C66-C67)^2+(D66-D67)^2)^0.5*O68*P68</f>
        <v>483.89859010761597</v>
      </c>
      <c r="R68" s="185">
        <f t="shared" si="46"/>
        <v>241.94929505380799</v>
      </c>
      <c r="S68" s="185">
        <f t="shared" si="47"/>
        <v>-241.94929505380799</v>
      </c>
      <c r="T68" s="186">
        <f t="shared" si="6"/>
        <v>-51.227709867399597</v>
      </c>
      <c r="U68" s="185">
        <f t="shared" si="7"/>
        <v>216.33544012010819</v>
      </c>
      <c r="V68" s="185">
        <f t="shared" si="48"/>
        <v>-216.33544012010819</v>
      </c>
    </row>
    <row r="69" spans="1:22" x14ac:dyDescent="0.2">
      <c r="A69" s="109"/>
      <c r="B69" s="11"/>
      <c r="C69" s="151">
        <f>C66</f>
        <v>46.672499999999999</v>
      </c>
      <c r="D69" s="152">
        <f>D67</f>
        <v>11.11021692649434</v>
      </c>
      <c r="E69" s="153"/>
      <c r="F69" s="152">
        <f>IF('Cyclops TH'!$I$6="x",C69,0)</f>
        <v>46.672499999999999</v>
      </c>
      <c r="G69" s="152">
        <f>IF('Cyclops TH'!$I$6="x",D69,0)</f>
        <v>11.11021692649434</v>
      </c>
      <c r="H69" s="152">
        <f>SUM(C69:C70)/2</f>
        <v>50.115904858665701</v>
      </c>
      <c r="I69" s="152">
        <f>SUM(D69:D70)/2</f>
        <v>11.11021692649434</v>
      </c>
      <c r="J69" s="152">
        <f>IF('Cyclops TH'!$I$5="x",H69,"")</f>
        <v>50.115904858665701</v>
      </c>
      <c r="K69" s="152">
        <f>IF('Cyclops TH'!$I$5="x",I69,"")</f>
        <v>11.11021692649434</v>
      </c>
      <c r="L69" s="153"/>
      <c r="M69" s="152">
        <f>M68</f>
        <v>2.3717161912049267</v>
      </c>
      <c r="N69" s="152">
        <f>N68</f>
        <v>62.971836341352926</v>
      </c>
      <c r="O69" s="152"/>
      <c r="P69" s="152"/>
      <c r="Q69" s="166">
        <f t="shared" ref="Q69:Q70" si="59">Q68</f>
        <v>483.89859010761597</v>
      </c>
      <c r="R69" s="185">
        <f t="shared" si="46"/>
        <v>241.94929505380799</v>
      </c>
      <c r="S69" s="185">
        <f t="shared" si="47"/>
        <v>-241.94929505380799</v>
      </c>
      <c r="T69" s="186">
        <f t="shared" si="6"/>
        <v>-51.227709867399597</v>
      </c>
      <c r="U69" s="185">
        <f t="shared" si="7"/>
        <v>216.33544012010819</v>
      </c>
      <c r="V69" s="185">
        <f t="shared" si="48"/>
        <v>-216.33544012010819</v>
      </c>
    </row>
    <row r="70" spans="1:22" x14ac:dyDescent="0.2">
      <c r="A70" s="1">
        <f t="shared" si="2"/>
        <v>33</v>
      </c>
      <c r="B70" s="128">
        <f t="shared" ref="B70" si="60">B67+1</f>
        <v>15</v>
      </c>
      <c r="C70" s="155">
        <f>C67</f>
        <v>53.559309717331395</v>
      </c>
      <c r="D70" s="156">
        <f>D67</f>
        <v>11.11021692649434</v>
      </c>
      <c r="E70" s="157"/>
      <c r="F70" s="156">
        <f>IF('Cyclops TH'!$I$6="x",C70,0)</f>
        <v>53.559309717331395</v>
      </c>
      <c r="G70" s="156">
        <f>IF('Cyclops TH'!$I$6="x",D70,0)</f>
        <v>11.11021692649434</v>
      </c>
      <c r="H70" s="173"/>
      <c r="I70" s="174"/>
      <c r="J70" s="156">
        <f>J69</f>
        <v>50.115904858665701</v>
      </c>
      <c r="K70" s="156">
        <f>K69</f>
        <v>11.11021692649434</v>
      </c>
      <c r="L70" s="157"/>
      <c r="M70" s="156">
        <f>M69</f>
        <v>2.3717161912049267</v>
      </c>
      <c r="N70" s="156">
        <f>N69</f>
        <v>62.971836341352926</v>
      </c>
      <c r="O70" s="156"/>
      <c r="P70" s="156"/>
      <c r="Q70" s="167">
        <f t="shared" si="59"/>
        <v>483.89859010761597</v>
      </c>
      <c r="R70" s="185">
        <f t="shared" si="46"/>
        <v>241.94929505380799</v>
      </c>
      <c r="S70" s="185">
        <f t="shared" si="47"/>
        <v>-241.94929505380799</v>
      </c>
      <c r="T70" s="186">
        <f t="shared" si="6"/>
        <v>-51.227709867399597</v>
      </c>
      <c r="U70" s="185">
        <f t="shared" si="7"/>
        <v>216.33544012010819</v>
      </c>
      <c r="V70" s="185">
        <f t="shared" si="48"/>
        <v>-216.33544012010819</v>
      </c>
    </row>
    <row r="71" spans="1:22" x14ac:dyDescent="0.2">
      <c r="A71" s="109"/>
      <c r="B71" s="11"/>
      <c r="C71" s="159"/>
      <c r="D71" s="160"/>
      <c r="E71" s="160"/>
      <c r="F71" s="161"/>
      <c r="G71" s="162"/>
      <c r="H71" s="160"/>
      <c r="I71" s="161"/>
      <c r="J71" s="162">
        <f>J70</f>
        <v>50.115904858665701</v>
      </c>
      <c r="K71" s="162">
        <f>K70</f>
        <v>11.11021692649434</v>
      </c>
      <c r="L71" s="169"/>
      <c r="M71" s="162">
        <f>((H69-H66)^2+(I69-I66)^2)^0.5</f>
        <v>1.631189270579279</v>
      </c>
      <c r="N71" s="162">
        <f>N68+M71</f>
        <v>64.60302561193221</v>
      </c>
      <c r="O71" s="162">
        <f t="shared" ref="O71" si="61">$O$14</f>
        <v>31.750000000000004</v>
      </c>
      <c r="P71" s="162">
        <v>2</v>
      </c>
      <c r="Q71" s="164">
        <f t="shared" ref="Q71" si="62">((C69-C70)^2+(D69-D70)^2)^0.5*O71*P71</f>
        <v>437.31241705054367</v>
      </c>
      <c r="R71" s="185">
        <f t="shared" si="46"/>
        <v>218.65620852527184</v>
      </c>
      <c r="S71" s="185">
        <f t="shared" si="47"/>
        <v>-218.65620852527184</v>
      </c>
      <c r="T71" s="186">
        <f t="shared" si="6"/>
        <v>-2.5000738854382689</v>
      </c>
      <c r="U71" s="185">
        <f t="shared" si="7"/>
        <v>217.4061715825527</v>
      </c>
      <c r="V71" s="185">
        <f t="shared" si="48"/>
        <v>-217.4061715825527</v>
      </c>
    </row>
    <row r="72" spans="1:22" x14ac:dyDescent="0.2">
      <c r="A72" s="109"/>
      <c r="B72" s="11"/>
      <c r="C72" s="151">
        <f>C69</f>
        <v>46.672499999999999</v>
      </c>
      <c r="D72" s="152">
        <f>Panels!D70</f>
        <v>9.2052169264943409</v>
      </c>
      <c r="E72" s="153"/>
      <c r="F72" s="152">
        <f>IF('Cyclops TH'!$I$6="x",C72,0)</f>
        <v>46.672499999999999</v>
      </c>
      <c r="G72" s="152">
        <f>IF('Cyclops TH'!$I$6="x",D72,0)</f>
        <v>9.2052169264943409</v>
      </c>
      <c r="H72" s="152">
        <f>SUM(C72:C73)/2</f>
        <v>50.115904858665701</v>
      </c>
      <c r="I72" s="152">
        <f>SUM(D72:D73)/2</f>
        <v>9.2052169264943409</v>
      </c>
      <c r="J72" s="152">
        <f>IF('Cyclops TH'!$I$5="x",H72,"")</f>
        <v>50.115904858665701</v>
      </c>
      <c r="K72" s="152">
        <f>IF('Cyclops TH'!$I$5="x",I72,"")</f>
        <v>9.2052169264943409</v>
      </c>
      <c r="L72" s="153"/>
      <c r="M72" s="152">
        <f>M71</f>
        <v>1.631189270579279</v>
      </c>
      <c r="N72" s="152">
        <f>N71</f>
        <v>64.60302561193221</v>
      </c>
      <c r="O72" s="152"/>
      <c r="P72" s="152"/>
      <c r="Q72" s="166">
        <f t="shared" ref="Q72:Q73" si="63">Q71</f>
        <v>437.31241705054367</v>
      </c>
      <c r="R72" s="185">
        <f t="shared" si="46"/>
        <v>218.65620852527184</v>
      </c>
      <c r="S72" s="185">
        <f t="shared" si="47"/>
        <v>-218.65620852527184</v>
      </c>
      <c r="T72" s="186">
        <f t="shared" si="6"/>
        <v>-2.5000738854382689</v>
      </c>
      <c r="U72" s="185">
        <f t="shared" si="7"/>
        <v>217.4061715825527</v>
      </c>
      <c r="V72" s="185">
        <f t="shared" si="48"/>
        <v>-217.4061715825527</v>
      </c>
    </row>
    <row r="73" spans="1:22" ht="12" thickBot="1" x14ac:dyDescent="0.25">
      <c r="A73" s="1">
        <f t="shared" si="2"/>
        <v>32</v>
      </c>
      <c r="B73" s="128">
        <f t="shared" ref="B73" si="64">B70+1</f>
        <v>16</v>
      </c>
      <c r="C73" s="155">
        <f>C70</f>
        <v>53.559309717331395</v>
      </c>
      <c r="D73" s="156">
        <f>D72</f>
        <v>9.2052169264943409</v>
      </c>
      <c r="E73" s="157"/>
      <c r="F73" s="156">
        <f>IF('Cyclops TH'!$I$6="x",C73,0)</f>
        <v>53.559309717331395</v>
      </c>
      <c r="G73" s="156">
        <f>IF('Cyclops TH'!$I$6="x",D73,0)</f>
        <v>9.2052169264943409</v>
      </c>
      <c r="H73" s="173"/>
      <c r="I73" s="174"/>
      <c r="J73" s="156">
        <f>J72</f>
        <v>50.115904858665701</v>
      </c>
      <c r="K73" s="156">
        <f>K72</f>
        <v>9.2052169264943409</v>
      </c>
      <c r="L73" s="157"/>
      <c r="M73" s="156">
        <f>M72</f>
        <v>1.631189270579279</v>
      </c>
      <c r="N73" s="156">
        <f>N72</f>
        <v>64.60302561193221</v>
      </c>
      <c r="O73" s="156"/>
      <c r="P73" s="156"/>
      <c r="Q73" s="167">
        <f t="shared" si="63"/>
        <v>437.31241705054367</v>
      </c>
      <c r="R73" s="185">
        <f t="shared" si="46"/>
        <v>218.65620852527184</v>
      </c>
      <c r="S73" s="185">
        <f t="shared" si="47"/>
        <v>-218.65620852527184</v>
      </c>
      <c r="T73" s="186">
        <f t="shared" si="6"/>
        <v>-2.5000738854382689</v>
      </c>
      <c r="U73" s="185">
        <f t="shared" si="7"/>
        <v>217.4061715825527</v>
      </c>
      <c r="V73" s="185">
        <f t="shared" si="48"/>
        <v>-217.4061715825527</v>
      </c>
    </row>
    <row r="74" spans="1:22" ht="12" thickBot="1" x14ac:dyDescent="0.25">
      <c r="A74" s="109"/>
      <c r="B74" s="11"/>
      <c r="C74" s="168"/>
      <c r="D74" s="169"/>
      <c r="E74" s="169"/>
      <c r="F74" s="161"/>
      <c r="G74" s="162"/>
      <c r="H74" s="169"/>
      <c r="I74" s="169"/>
      <c r="J74" s="162">
        <f>J73</f>
        <v>50.115904858665701</v>
      </c>
      <c r="K74" s="162">
        <f>K73</f>
        <v>9.2052169264943409</v>
      </c>
      <c r="L74" s="169"/>
      <c r="M74" s="162">
        <f>((H72-H69)^2+(I72-I69)^2)^0.5</f>
        <v>1.9049999999999994</v>
      </c>
      <c r="N74" s="162">
        <f>N71+M74</f>
        <v>66.508025611932212</v>
      </c>
      <c r="O74" s="162">
        <f t="shared" ref="O74" si="65">$O$14</f>
        <v>31.750000000000004</v>
      </c>
      <c r="P74" s="162">
        <v>2</v>
      </c>
      <c r="Q74" s="164">
        <f t="shared" ref="Q74" si="66">((C72-C73)^2+(D72-D73)^2)^0.5*O74*P74</f>
        <v>437.31241705054367</v>
      </c>
      <c r="R74" s="185">
        <f t="shared" si="46"/>
        <v>218.65620852527184</v>
      </c>
      <c r="S74" s="185">
        <f t="shared" si="47"/>
        <v>-218.65620852527184</v>
      </c>
      <c r="T74" s="187">
        <f t="shared" si="6"/>
        <v>8.5408502633299577E-4</v>
      </c>
      <c r="U74" s="185">
        <f t="shared" si="7"/>
        <v>218.656635567785</v>
      </c>
      <c r="V74" s="185">
        <f t="shared" si="48"/>
        <v>-218.656635567785</v>
      </c>
    </row>
    <row r="75" spans="1:22" x14ac:dyDescent="0.2">
      <c r="A75" s="109"/>
      <c r="B75" s="11"/>
      <c r="C75" s="151">
        <f>C72</f>
        <v>46.672499999999999</v>
      </c>
      <c r="D75" s="152">
        <f>(D72+Panels!D21)/2</f>
        <v>5.5551084632471701</v>
      </c>
      <c r="E75" s="153"/>
      <c r="F75" s="152">
        <f>IF('Cyclops TH'!$I$6="x",C75,0)</f>
        <v>46.672499999999999</v>
      </c>
      <c r="G75" s="152">
        <f>IF('Cyclops TH'!$I$6="x",D75,0)</f>
        <v>5.5551084632471701</v>
      </c>
      <c r="H75" s="152">
        <f>SUM(C75:C76)/2</f>
        <v>50.115904858665701</v>
      </c>
      <c r="I75" s="152">
        <f>SUM(D75:D76)/2</f>
        <v>7.380162694870755</v>
      </c>
      <c r="J75" s="152">
        <f>IF('Cyclops TH'!$I$5="x",H75,"")</f>
        <v>50.115904858665701</v>
      </c>
      <c r="K75" s="152">
        <f>IF('Cyclops TH'!$I$5="x",I75,"")</f>
        <v>7.380162694870755</v>
      </c>
      <c r="L75" s="153"/>
      <c r="M75" s="152">
        <f>M74</f>
        <v>1.9049999999999994</v>
      </c>
      <c r="N75" s="152">
        <f>N74</f>
        <v>66.508025611932212</v>
      </c>
      <c r="O75" s="152"/>
      <c r="P75" s="152"/>
      <c r="Q75" s="166">
        <f t="shared" ref="Q75:Q76" si="67">Q74</f>
        <v>437.31241705054367</v>
      </c>
      <c r="R75" s="185">
        <f t="shared" si="46"/>
        <v>218.65620852527184</v>
      </c>
      <c r="S75" s="185">
        <f t="shared" si="47"/>
        <v>-218.65620852527184</v>
      </c>
      <c r="T75" s="186">
        <f t="shared" si="6"/>
        <v>8.5408502633299577E-4</v>
      </c>
      <c r="U75" s="185">
        <f t="shared" si="7"/>
        <v>218.656635567785</v>
      </c>
      <c r="V75" s="185">
        <f t="shared" si="48"/>
        <v>-218.656635567785</v>
      </c>
    </row>
    <row r="76" spans="1:22" x14ac:dyDescent="0.2">
      <c r="A76" s="1">
        <f t="shared" si="2"/>
        <v>31</v>
      </c>
      <c r="B76" s="128">
        <f t="shared" ref="B76" si="68">B73+1</f>
        <v>17</v>
      </c>
      <c r="C76" s="155">
        <f>C73</f>
        <v>53.559309717331395</v>
      </c>
      <c r="D76" s="156">
        <f>D73</f>
        <v>9.2052169264943409</v>
      </c>
      <c r="E76" s="157"/>
      <c r="F76" s="156">
        <f>IF('Cyclops TH'!$I$6="x",C76,0)</f>
        <v>53.559309717331395</v>
      </c>
      <c r="G76" s="156">
        <f>IF('Cyclops TH'!$I$6="x",D76,0)</f>
        <v>9.2052169264943409</v>
      </c>
      <c r="H76" s="173"/>
      <c r="I76" s="174"/>
      <c r="J76" s="156">
        <f>J75</f>
        <v>50.115904858665701</v>
      </c>
      <c r="K76" s="156">
        <f>K75</f>
        <v>7.380162694870755</v>
      </c>
      <c r="L76" s="176"/>
      <c r="M76" s="156">
        <f>M75</f>
        <v>1.9049999999999994</v>
      </c>
      <c r="N76" s="156">
        <f>N75</f>
        <v>66.508025611932212</v>
      </c>
      <c r="O76" s="156"/>
      <c r="P76" s="156"/>
      <c r="Q76" s="167">
        <f t="shared" si="67"/>
        <v>437.31241705054367</v>
      </c>
      <c r="R76" s="185">
        <f t="shared" si="46"/>
        <v>218.65620852527184</v>
      </c>
      <c r="S76" s="185">
        <f t="shared" si="47"/>
        <v>-218.65620852527184</v>
      </c>
      <c r="T76" s="186">
        <f t="shared" si="6"/>
        <v>8.5408502633299577E-4</v>
      </c>
      <c r="U76" s="185">
        <f t="shared" si="7"/>
        <v>218.656635567785</v>
      </c>
      <c r="V76" s="185">
        <f t="shared" si="48"/>
        <v>-218.656635567785</v>
      </c>
    </row>
    <row r="77" spans="1:22" x14ac:dyDescent="0.2">
      <c r="A77" s="109"/>
      <c r="B77" s="11"/>
      <c r="C77" s="168"/>
      <c r="D77" s="169"/>
      <c r="E77" s="169"/>
      <c r="F77" s="161"/>
      <c r="G77" s="162"/>
      <c r="H77" s="169"/>
      <c r="I77" s="169"/>
      <c r="J77" s="162">
        <f>J76</f>
        <v>50.115904858665701</v>
      </c>
      <c r="K77" s="162">
        <f>K76</f>
        <v>7.380162694870755</v>
      </c>
      <c r="L77" s="162"/>
      <c r="M77" s="162">
        <f>((H75-H72)^2+(I75-I72)^2)^0.5</f>
        <v>1.8250542316235858</v>
      </c>
      <c r="N77" s="162">
        <f>N74+M77</f>
        <v>68.333079843555794</v>
      </c>
      <c r="O77" s="162">
        <f t="shared" ref="O77" si="69">$O$14</f>
        <v>31.750000000000004</v>
      </c>
      <c r="P77" s="162">
        <v>2</v>
      </c>
      <c r="Q77" s="164">
        <f t="shared" ref="Q77" si="70">((C75-C76)^2+(D75-D76)^2)^0.5*O77*P77</f>
        <v>494.93938360247967</v>
      </c>
      <c r="R77" s="185">
        <f t="shared" si="46"/>
        <v>247.46969180123983</v>
      </c>
      <c r="S77" s="185">
        <f t="shared" si="47"/>
        <v>-247.46969180123983</v>
      </c>
      <c r="T77" s="186">
        <f t="shared" si="6"/>
        <v>-55.230139146446504</v>
      </c>
      <c r="U77" s="185">
        <f t="shared" si="7"/>
        <v>219.85462222801658</v>
      </c>
      <c r="V77" s="185">
        <f t="shared" si="48"/>
        <v>-219.85462222801658</v>
      </c>
    </row>
    <row r="78" spans="1:22" x14ac:dyDescent="0.2">
      <c r="A78" s="109"/>
      <c r="B78" s="11"/>
      <c r="C78" s="151">
        <f>(C75+C76)/2</f>
        <v>50.115904858665701</v>
      </c>
      <c r="D78" s="152">
        <f>Panels!D21</f>
        <v>1.905</v>
      </c>
      <c r="E78" s="153"/>
      <c r="F78" s="152">
        <f>IF('Cyclops TH'!$I$6="x",C78,0)</f>
        <v>50.115904858665701</v>
      </c>
      <c r="G78" s="152">
        <f>IF('Cyclops TH'!$I$6="x",D78,0)</f>
        <v>1.905</v>
      </c>
      <c r="H78" s="152">
        <f>SUM(C78:C79)/2</f>
        <v>51.837607287998551</v>
      </c>
      <c r="I78" s="152">
        <f>SUM(D78:D79)/2</f>
        <v>5.5551084632471701</v>
      </c>
      <c r="J78" s="152">
        <f>IF('Cyclops TH'!$I$5="x",H78,"")</f>
        <v>51.837607287998551</v>
      </c>
      <c r="K78" s="152">
        <f>IF('Cyclops TH'!$I$5="x",I78,"")</f>
        <v>5.5551084632471701</v>
      </c>
      <c r="L78" s="152"/>
      <c r="M78" s="152">
        <f>M77</f>
        <v>1.8250542316235858</v>
      </c>
      <c r="N78" s="152">
        <f>N77</f>
        <v>68.333079843555794</v>
      </c>
      <c r="O78" s="152"/>
      <c r="P78" s="152"/>
      <c r="Q78" s="166">
        <f t="shared" ref="Q78:Q79" si="71">Q77</f>
        <v>494.93938360247967</v>
      </c>
      <c r="R78" s="185">
        <f t="shared" si="46"/>
        <v>247.46969180123983</v>
      </c>
      <c r="S78" s="185">
        <f t="shared" si="47"/>
        <v>-247.46969180123983</v>
      </c>
      <c r="T78" s="186">
        <f t="shared" si="6"/>
        <v>-55.230139146446504</v>
      </c>
      <c r="U78" s="185">
        <f t="shared" si="7"/>
        <v>219.85462222801658</v>
      </c>
      <c r="V78" s="185">
        <f t="shared" si="48"/>
        <v>-219.85462222801658</v>
      </c>
    </row>
    <row r="79" spans="1:22" x14ac:dyDescent="0.2">
      <c r="A79" s="1">
        <f t="shared" si="2"/>
        <v>30</v>
      </c>
      <c r="B79" s="128">
        <f t="shared" ref="B79" si="72">B76+1</f>
        <v>18</v>
      </c>
      <c r="C79" s="155">
        <f>C76</f>
        <v>53.559309717331395</v>
      </c>
      <c r="D79" s="156">
        <f>D76</f>
        <v>9.2052169264943409</v>
      </c>
      <c r="E79" s="157"/>
      <c r="F79" s="156">
        <f>IF('Cyclops TH'!$I$6="x",C79,0)</f>
        <v>53.559309717331395</v>
      </c>
      <c r="G79" s="156">
        <f>IF('Cyclops TH'!$I$6="x",D79,0)</f>
        <v>9.2052169264943409</v>
      </c>
      <c r="H79" s="173"/>
      <c r="I79" s="174"/>
      <c r="J79" s="156">
        <f>J78</f>
        <v>51.837607287998551</v>
      </c>
      <c r="K79" s="156">
        <f>K78</f>
        <v>5.5551084632471701</v>
      </c>
      <c r="L79" s="157"/>
      <c r="M79" s="156">
        <f>M78</f>
        <v>1.8250542316235858</v>
      </c>
      <c r="N79" s="156">
        <f>N78</f>
        <v>68.333079843555794</v>
      </c>
      <c r="O79" s="156"/>
      <c r="P79" s="156"/>
      <c r="Q79" s="167">
        <f t="shared" si="71"/>
        <v>494.93938360247967</v>
      </c>
      <c r="R79" s="185">
        <f t="shared" si="46"/>
        <v>247.46969180123983</v>
      </c>
      <c r="S79" s="185">
        <f t="shared" si="47"/>
        <v>-247.46969180123983</v>
      </c>
      <c r="T79" s="186">
        <f t="shared" si="6"/>
        <v>-55.230139146446504</v>
      </c>
      <c r="U79" s="185">
        <f t="shared" si="7"/>
        <v>219.85462222801658</v>
      </c>
      <c r="V79" s="185">
        <f t="shared" si="48"/>
        <v>-219.85462222801658</v>
      </c>
    </row>
    <row r="80" spans="1:22" x14ac:dyDescent="0.2">
      <c r="A80" s="109"/>
      <c r="B80" s="11"/>
      <c r="C80" s="168"/>
      <c r="D80" s="169"/>
      <c r="E80" s="169"/>
      <c r="F80" s="161"/>
      <c r="G80" s="162"/>
      <c r="H80" s="169"/>
      <c r="I80" s="169"/>
      <c r="J80" s="162">
        <f>J79</f>
        <v>51.837607287998551</v>
      </c>
      <c r="K80" s="162">
        <f>K79</f>
        <v>5.5551084632471701</v>
      </c>
      <c r="L80" s="162"/>
      <c r="M80" s="162">
        <f>((H78-H75)^2+(I78-I75)^2)^0.5</f>
        <v>2.5090002398441085</v>
      </c>
      <c r="N80" s="162">
        <f>N77+M80</f>
        <v>70.842080083399907</v>
      </c>
      <c r="O80" s="162">
        <f t="shared" ref="O80" si="73">$O$14</f>
        <v>31.750000000000004</v>
      </c>
      <c r="P80" s="162">
        <v>2</v>
      </c>
      <c r="Q80" s="164">
        <f t="shared" ref="Q80" si="74">((C78-C79)^2+(D78-D79)^2)^0.5*O80*P80</f>
        <v>512.54454524802281</v>
      </c>
      <c r="R80" s="185">
        <f t="shared" si="46"/>
        <v>256.27227262401141</v>
      </c>
      <c r="S80" s="185">
        <f t="shared" si="47"/>
        <v>-256.27227262401141</v>
      </c>
      <c r="T80" s="186">
        <f t="shared" si="6"/>
        <v>-69.541427365360391</v>
      </c>
      <c r="U80" s="185">
        <f t="shared" si="7"/>
        <v>221.50155894133121</v>
      </c>
      <c r="V80" s="185">
        <f t="shared" si="48"/>
        <v>-221.50155894133121</v>
      </c>
    </row>
    <row r="81" spans="1:22" x14ac:dyDescent="0.2">
      <c r="A81" s="109"/>
      <c r="B81" s="11"/>
      <c r="C81" s="151">
        <f>C79</f>
        <v>53.559309717331395</v>
      </c>
      <c r="D81" s="152">
        <f>D78</f>
        <v>1.905</v>
      </c>
      <c r="E81" s="153"/>
      <c r="F81" s="152">
        <f>IF('Cyclops TH'!$I$6="x",C81,0)</f>
        <v>53.559309717331395</v>
      </c>
      <c r="G81" s="152">
        <f>IF('Cyclops TH'!$I$6="x",D81,0)</f>
        <v>1.905</v>
      </c>
      <c r="H81" s="152">
        <f>SUM(C81:C82)/2</f>
        <v>53.559309717331395</v>
      </c>
      <c r="I81" s="152">
        <f>SUM(D81:D82)/2</f>
        <v>5.5551084632471701</v>
      </c>
      <c r="J81" s="152">
        <f>IF('Cyclops TH'!$I$5="x",H81,"")</f>
        <v>53.559309717331395</v>
      </c>
      <c r="K81" s="152">
        <f>IF('Cyclops TH'!$I$5="x",I81,"")</f>
        <v>5.5551084632471701</v>
      </c>
      <c r="L81" s="152"/>
      <c r="M81" s="152">
        <f>M80</f>
        <v>2.5090002398441085</v>
      </c>
      <c r="N81" s="152">
        <f>N80</f>
        <v>70.842080083399907</v>
      </c>
      <c r="O81" s="152"/>
      <c r="P81" s="152"/>
      <c r="Q81" s="166">
        <f t="shared" ref="Q81:Q82" si="75">Q80</f>
        <v>512.54454524802281</v>
      </c>
      <c r="R81" s="185">
        <f t="shared" si="46"/>
        <v>256.27227262401141</v>
      </c>
      <c r="S81" s="185">
        <f t="shared" si="47"/>
        <v>-256.27227262401141</v>
      </c>
      <c r="T81" s="186">
        <f t="shared" si="6"/>
        <v>-69.541427365360391</v>
      </c>
      <c r="U81" s="185">
        <f t="shared" si="7"/>
        <v>221.50155894133121</v>
      </c>
      <c r="V81" s="185">
        <f t="shared" si="48"/>
        <v>-221.50155894133121</v>
      </c>
    </row>
    <row r="82" spans="1:22" x14ac:dyDescent="0.2">
      <c r="A82" s="1">
        <f t="shared" si="2"/>
        <v>29</v>
      </c>
      <c r="B82" s="128">
        <f t="shared" ref="B82" si="76">B79+1</f>
        <v>19</v>
      </c>
      <c r="C82" s="155">
        <f>C79</f>
        <v>53.559309717331395</v>
      </c>
      <c r="D82" s="156">
        <f>D79</f>
        <v>9.2052169264943409</v>
      </c>
      <c r="E82" s="157"/>
      <c r="F82" s="156">
        <f>IF('Cyclops TH'!$I$6="x",C82,0)</f>
        <v>53.559309717331395</v>
      </c>
      <c r="G82" s="156">
        <f>IF('Cyclops TH'!$I$6="x",D82,0)</f>
        <v>9.2052169264943409</v>
      </c>
      <c r="H82" s="173"/>
      <c r="I82" s="174"/>
      <c r="J82" s="156">
        <f>J81</f>
        <v>53.559309717331395</v>
      </c>
      <c r="K82" s="156">
        <f>K81</f>
        <v>5.5551084632471701</v>
      </c>
      <c r="L82" s="157"/>
      <c r="M82" s="156">
        <f>M81</f>
        <v>2.5090002398441085</v>
      </c>
      <c r="N82" s="156">
        <f>N81</f>
        <v>70.842080083399907</v>
      </c>
      <c r="O82" s="156"/>
      <c r="P82" s="156"/>
      <c r="Q82" s="167">
        <f t="shared" si="75"/>
        <v>512.54454524802281</v>
      </c>
      <c r="R82" s="185">
        <f t="shared" si="46"/>
        <v>256.27227262401141</v>
      </c>
      <c r="S82" s="185">
        <f t="shared" si="47"/>
        <v>-256.27227262401141</v>
      </c>
      <c r="T82" s="186">
        <f t="shared" si="6"/>
        <v>-69.541427365360391</v>
      </c>
      <c r="U82" s="185">
        <f t="shared" si="7"/>
        <v>221.50155894133121</v>
      </c>
      <c r="V82" s="185">
        <f t="shared" si="48"/>
        <v>-221.50155894133121</v>
      </c>
    </row>
    <row r="83" spans="1:22" x14ac:dyDescent="0.2">
      <c r="A83" s="109"/>
      <c r="B83" s="11"/>
      <c r="C83" s="168"/>
      <c r="D83" s="169"/>
      <c r="E83" s="169"/>
      <c r="F83" s="161"/>
      <c r="G83" s="162"/>
      <c r="H83" s="169"/>
      <c r="I83" s="169"/>
      <c r="J83" s="162">
        <f>J82</f>
        <v>53.559309717331395</v>
      </c>
      <c r="K83" s="162">
        <f>K82</f>
        <v>5.5551084632471701</v>
      </c>
      <c r="L83" s="162"/>
      <c r="M83" s="162">
        <f>((H81-H78)^2+(I81-I78)^2)^0.5</f>
        <v>1.7217024293328436</v>
      </c>
      <c r="N83" s="162">
        <f>N80+M83</f>
        <v>72.563782512732757</v>
      </c>
      <c r="O83" s="162">
        <f t="shared" ref="O83" si="77">$O$14</f>
        <v>31.750000000000004</v>
      </c>
      <c r="P83" s="162">
        <v>2</v>
      </c>
      <c r="Q83" s="164">
        <f t="shared" ref="Q83" si="78">((C81-C82)^2+(D81-D82)^2)^0.5*O83*P83</f>
        <v>463.56377483239066</v>
      </c>
      <c r="R83" s="185">
        <f t="shared" si="46"/>
        <v>231.78188741619533</v>
      </c>
      <c r="S83" s="185">
        <f t="shared" si="47"/>
        <v>-231.78188741619533</v>
      </c>
      <c r="T83" s="186">
        <f t="shared" si="6"/>
        <v>-18.300366260838246</v>
      </c>
      <c r="U83" s="185">
        <f t="shared" si="7"/>
        <v>222.63170428577621</v>
      </c>
      <c r="V83" s="185">
        <f t="shared" si="48"/>
        <v>-222.63170428577621</v>
      </c>
    </row>
    <row r="84" spans="1:22" x14ac:dyDescent="0.2">
      <c r="A84" s="109"/>
      <c r="B84" s="11"/>
      <c r="C84" s="151">
        <f>(C81+C90)/2</f>
        <v>67.498643031401357</v>
      </c>
      <c r="D84" s="152">
        <f>D81</f>
        <v>1.905</v>
      </c>
      <c r="E84" s="153"/>
      <c r="F84" s="152">
        <f>IF('Cyclops TH'!$I$6="x",C84,0)</f>
        <v>67.498643031401357</v>
      </c>
      <c r="G84" s="152">
        <f>IF('Cyclops TH'!$I$6="x",D84,0)</f>
        <v>1.905</v>
      </c>
      <c r="H84" s="152">
        <f>SUM(C84:C85)/2</f>
        <v>67.498643031401357</v>
      </c>
      <c r="I84" s="152">
        <f>SUM(D84:D85)/2</f>
        <v>5.5551084632471701</v>
      </c>
      <c r="J84" s="152">
        <f>IF('Cyclops TH'!$I$5="x",H84,"")</f>
        <v>67.498643031401357</v>
      </c>
      <c r="K84" s="152">
        <f>IF('Cyclops TH'!$I$5="x",I84,"")</f>
        <v>5.5551084632471701</v>
      </c>
      <c r="L84" s="152"/>
      <c r="M84" s="152">
        <f>M83</f>
        <v>1.7217024293328436</v>
      </c>
      <c r="N84" s="152">
        <f>N83</f>
        <v>72.563782512732757</v>
      </c>
      <c r="O84" s="152"/>
      <c r="P84" s="152"/>
      <c r="Q84" s="166">
        <f t="shared" ref="Q84:Q85" si="79">Q83</f>
        <v>463.56377483239066</v>
      </c>
      <c r="R84" s="185">
        <f t="shared" si="46"/>
        <v>231.78188741619533</v>
      </c>
      <c r="S84" s="185">
        <f t="shared" si="47"/>
        <v>-231.78188741619533</v>
      </c>
      <c r="T84" s="186">
        <f t="shared" si="6"/>
        <v>-18.300366260838246</v>
      </c>
      <c r="U84" s="185">
        <f t="shared" si="7"/>
        <v>222.63170428577621</v>
      </c>
      <c r="V84" s="185">
        <f t="shared" si="48"/>
        <v>-222.63170428577621</v>
      </c>
    </row>
    <row r="85" spans="1:22" ht="12" thickBot="1" x14ac:dyDescent="0.25">
      <c r="A85" s="1">
        <f t="shared" si="2"/>
        <v>28</v>
      </c>
      <c r="B85" s="128">
        <f t="shared" ref="B85" si="80">B82+1</f>
        <v>20</v>
      </c>
      <c r="C85" s="155">
        <f>(C82+C90)/2</f>
        <v>67.498643031401357</v>
      </c>
      <c r="D85" s="156">
        <f>D82</f>
        <v>9.2052169264943409</v>
      </c>
      <c r="E85" s="157"/>
      <c r="F85" s="156">
        <f>IF('Cyclops TH'!$I$6="x",C85,0)</f>
        <v>67.498643031401357</v>
      </c>
      <c r="G85" s="156">
        <f>IF('Cyclops TH'!$I$6="x",D85,0)</f>
        <v>9.2052169264943409</v>
      </c>
      <c r="H85" s="173"/>
      <c r="I85" s="174"/>
      <c r="J85" s="156">
        <f>J84</f>
        <v>67.498643031401357</v>
      </c>
      <c r="K85" s="156">
        <f>K84</f>
        <v>5.5551084632471701</v>
      </c>
      <c r="L85" s="157"/>
      <c r="M85" s="156">
        <f>M84</f>
        <v>1.7217024293328436</v>
      </c>
      <c r="N85" s="156">
        <f>N84</f>
        <v>72.563782512732757</v>
      </c>
      <c r="O85" s="156"/>
      <c r="P85" s="156"/>
      <c r="Q85" s="167">
        <f t="shared" si="79"/>
        <v>463.56377483239066</v>
      </c>
      <c r="R85" s="185">
        <f t="shared" si="46"/>
        <v>231.78188741619533</v>
      </c>
      <c r="S85" s="185">
        <f t="shared" si="47"/>
        <v>-231.78188741619533</v>
      </c>
      <c r="T85" s="186">
        <f t="shared" si="6"/>
        <v>-18.300366260838246</v>
      </c>
      <c r="U85" s="185">
        <f t="shared" si="7"/>
        <v>222.63170428577621</v>
      </c>
      <c r="V85" s="185">
        <f t="shared" si="48"/>
        <v>-222.63170428577621</v>
      </c>
    </row>
    <row r="86" spans="1:22" ht="12" thickBot="1" x14ac:dyDescent="0.25">
      <c r="A86" s="109"/>
      <c r="B86" s="11"/>
      <c r="C86" s="168"/>
      <c r="D86" s="169"/>
      <c r="E86" s="169"/>
      <c r="F86" s="161"/>
      <c r="G86" s="162"/>
      <c r="H86" s="169"/>
      <c r="I86" s="169"/>
      <c r="J86" s="162">
        <f>J85</f>
        <v>67.498643031401357</v>
      </c>
      <c r="K86" s="162">
        <f>K85</f>
        <v>5.5551084632471701</v>
      </c>
      <c r="L86" s="162"/>
      <c r="M86" s="162">
        <f>((H84-H81)^2+(I84-I81)^2)^0.5</f>
        <v>13.939333314069962</v>
      </c>
      <c r="N86" s="162">
        <f>N83+M86</f>
        <v>86.503115826802713</v>
      </c>
      <c r="O86" s="162">
        <f t="shared" ref="O86" si="81">$O$14</f>
        <v>31.750000000000004</v>
      </c>
      <c r="P86" s="162">
        <v>2</v>
      </c>
      <c r="Q86" s="164">
        <f t="shared" ref="Q86" si="82">((C84-C85)^2+(D84-D85)^2)^0.5*O86*P86</f>
        <v>463.56377483239066</v>
      </c>
      <c r="R86" s="185">
        <f t="shared" si="46"/>
        <v>231.78188741619533</v>
      </c>
      <c r="S86" s="185">
        <f t="shared" si="47"/>
        <v>-231.78188741619533</v>
      </c>
      <c r="T86" s="187">
        <f t="shared" si="6"/>
        <v>-4.8774388949368586E-4</v>
      </c>
      <c r="U86" s="185">
        <f t="shared" si="7"/>
        <v>231.78164354425058</v>
      </c>
      <c r="V86" s="185">
        <f t="shared" si="48"/>
        <v>-231.78164354425058</v>
      </c>
    </row>
    <row r="87" spans="1:22" x14ac:dyDescent="0.2">
      <c r="A87" s="109"/>
      <c r="B87" s="11"/>
      <c r="C87" s="151">
        <f>C45</f>
        <v>79.532976345471326</v>
      </c>
      <c r="D87" s="152">
        <f>D81</f>
        <v>1.905</v>
      </c>
      <c r="E87" s="153"/>
      <c r="F87" s="152">
        <f>IF('Cyclops TH'!$I$6="x",C87,0)</f>
        <v>79.532976345471326</v>
      </c>
      <c r="G87" s="152">
        <f>IF('Cyclops TH'!$I$6="x",D87,0)</f>
        <v>1.905</v>
      </c>
      <c r="H87" s="152">
        <f>SUM(C87:C88)/2</f>
        <v>79.532976345471326</v>
      </c>
      <c r="I87" s="152">
        <f>SUM(D87:D88)/2</f>
        <v>5.5551084632471701</v>
      </c>
      <c r="J87" s="152">
        <f>IF('Cyclops TH'!$I$5="x",H87,"")</f>
        <v>79.532976345471326</v>
      </c>
      <c r="K87" s="152">
        <f>IF('Cyclops TH'!$I$5="x",I87,"")</f>
        <v>5.5551084632471701</v>
      </c>
      <c r="L87" s="152"/>
      <c r="M87" s="152">
        <f>M86</f>
        <v>13.939333314069962</v>
      </c>
      <c r="N87" s="152">
        <f>N86</f>
        <v>86.503115826802713</v>
      </c>
      <c r="O87" s="152"/>
      <c r="P87" s="152"/>
      <c r="Q87" s="166">
        <f t="shared" ref="Q87:Q88" si="83">Q86</f>
        <v>463.56377483239066</v>
      </c>
      <c r="R87" s="185">
        <f t="shared" si="46"/>
        <v>231.78188741619533</v>
      </c>
      <c r="S87" s="185">
        <f t="shared" si="47"/>
        <v>-231.78188741619533</v>
      </c>
      <c r="T87" s="186">
        <f t="shared" si="6"/>
        <v>-4.8774388949368586E-4</v>
      </c>
      <c r="U87" s="185">
        <f t="shared" si="7"/>
        <v>231.78164354425058</v>
      </c>
      <c r="V87" s="185">
        <f t="shared" si="48"/>
        <v>-231.78164354425058</v>
      </c>
    </row>
    <row r="88" spans="1:22" x14ac:dyDescent="0.2">
      <c r="A88" s="1">
        <f t="shared" ref="A88" si="84">A91+1</f>
        <v>27</v>
      </c>
      <c r="B88" s="128">
        <f t="shared" ref="B88" si="85">B85+1</f>
        <v>21</v>
      </c>
      <c r="C88" s="155">
        <f>C87</f>
        <v>79.532976345471326</v>
      </c>
      <c r="D88" s="156">
        <f>D82</f>
        <v>9.2052169264943409</v>
      </c>
      <c r="E88" s="155"/>
      <c r="F88" s="156">
        <f>IF('Cyclops TH'!$I$6="x",C88,0)</f>
        <v>79.532976345471326</v>
      </c>
      <c r="G88" s="156">
        <f>IF('Cyclops TH'!$I$6="x",D88,0)</f>
        <v>9.2052169264943409</v>
      </c>
      <c r="H88" s="173"/>
      <c r="I88" s="174"/>
      <c r="J88" s="156">
        <f>J87</f>
        <v>79.532976345471326</v>
      </c>
      <c r="K88" s="156">
        <f>K87</f>
        <v>5.5551084632471701</v>
      </c>
      <c r="L88" s="157"/>
      <c r="M88" s="156">
        <f>M87</f>
        <v>13.939333314069962</v>
      </c>
      <c r="N88" s="156">
        <f>N87</f>
        <v>86.503115826802713</v>
      </c>
      <c r="O88" s="156"/>
      <c r="P88" s="156"/>
      <c r="Q88" s="167">
        <f t="shared" si="83"/>
        <v>463.56377483239066</v>
      </c>
      <c r="R88" s="185">
        <f t="shared" si="46"/>
        <v>231.78188741619533</v>
      </c>
      <c r="S88" s="185">
        <f t="shared" si="47"/>
        <v>-231.78188741619533</v>
      </c>
      <c r="T88" s="186">
        <f t="shared" si="6"/>
        <v>-4.8774388949368586E-4</v>
      </c>
      <c r="U88" s="185">
        <f t="shared" si="7"/>
        <v>231.78164354425058</v>
      </c>
      <c r="V88" s="185">
        <f t="shared" si="48"/>
        <v>-231.78164354425058</v>
      </c>
    </row>
    <row r="89" spans="1:22" x14ac:dyDescent="0.2">
      <c r="A89" s="109"/>
      <c r="B89" s="11"/>
      <c r="C89" s="172"/>
      <c r="D89" s="157"/>
      <c r="E89" s="157"/>
      <c r="F89" s="161"/>
      <c r="G89" s="162"/>
      <c r="H89" s="157"/>
      <c r="I89" s="157"/>
      <c r="J89" s="156">
        <f>J88</f>
        <v>79.532976345471326</v>
      </c>
      <c r="K89" s="156">
        <f>K88</f>
        <v>5.5551084632471701</v>
      </c>
      <c r="L89" s="157"/>
      <c r="M89" s="162">
        <f>((H87-H84)^2+(I87-I84)^2)^0.5</f>
        <v>12.034333314069968</v>
      </c>
      <c r="N89" s="162">
        <f>N86+M89</f>
        <v>98.537449140872681</v>
      </c>
      <c r="O89" s="162">
        <f t="shared" ref="O89" si="86">$O$14</f>
        <v>31.750000000000004</v>
      </c>
      <c r="P89" s="162">
        <v>2</v>
      </c>
      <c r="Q89" s="164">
        <f t="shared" ref="Q89" si="87">((C87-C88)^2+(D87-D88)^2)^0.5*O89*P89</f>
        <v>463.56377483239066</v>
      </c>
      <c r="R89" s="185">
        <f t="shared" si="46"/>
        <v>231.78188741619533</v>
      </c>
      <c r="S89" s="185">
        <f t="shared" si="47"/>
        <v>-231.78188741619533</v>
      </c>
      <c r="T89" s="186">
        <f t="shared" si="6"/>
        <v>15.798462802594599</v>
      </c>
      <c r="U89" s="185">
        <f t="shared" si="7"/>
        <v>239.68111881749263</v>
      </c>
      <c r="V89" s="185">
        <f t="shared" si="48"/>
        <v>-239.68111881749263</v>
      </c>
    </row>
    <row r="90" spans="1:22" x14ac:dyDescent="0.2">
      <c r="A90" s="109"/>
      <c r="B90" s="11"/>
      <c r="C90" s="151">
        <f>Panels!C51</f>
        <v>81.437976345471327</v>
      </c>
      <c r="D90" s="152">
        <f>D87</f>
        <v>1.905</v>
      </c>
      <c r="E90" s="153"/>
      <c r="F90" s="152">
        <f>IF('Cyclops TH'!$I$6="x",C90,0)</f>
        <v>81.437976345471327</v>
      </c>
      <c r="G90" s="152">
        <f>IF('Cyclops TH'!$I$6="x",D90,0)</f>
        <v>1.905</v>
      </c>
      <c r="H90" s="152">
        <f>SUM(C90:C91)/2</f>
        <v>81.437976345471327</v>
      </c>
      <c r="I90" s="152">
        <f>SUM(D90:D91)/2</f>
        <v>5.5551084632471701</v>
      </c>
      <c r="J90" s="152">
        <f>IF('Cyclops TH'!$I$5="x",H90,"")</f>
        <v>81.437976345471327</v>
      </c>
      <c r="K90" s="152">
        <f>IF('Cyclops TH'!$I$5="x",I90,"")</f>
        <v>5.5551084632471701</v>
      </c>
      <c r="L90" s="153"/>
      <c r="M90" s="152">
        <f>M89</f>
        <v>12.034333314069968</v>
      </c>
      <c r="N90" s="152">
        <f>N89</f>
        <v>98.537449140872681</v>
      </c>
      <c r="O90" s="152"/>
      <c r="P90" s="152"/>
      <c r="Q90" s="166">
        <f t="shared" ref="Q90:Q91" si="88">Q89</f>
        <v>463.56377483239066</v>
      </c>
      <c r="R90" s="185">
        <f t="shared" si="46"/>
        <v>231.78188741619533</v>
      </c>
      <c r="S90" s="185">
        <f t="shared" si="47"/>
        <v>-231.78188741619533</v>
      </c>
      <c r="T90" s="186">
        <f t="shared" si="6"/>
        <v>15.798462802594599</v>
      </c>
      <c r="U90" s="185">
        <f t="shared" si="7"/>
        <v>239.68111881749263</v>
      </c>
      <c r="V90" s="185">
        <f t="shared" si="48"/>
        <v>-239.68111881749263</v>
      </c>
    </row>
    <row r="91" spans="1:22" x14ac:dyDescent="0.2">
      <c r="A91" s="1">
        <f t="shared" ref="A91" si="89">A94+1</f>
        <v>26</v>
      </c>
      <c r="B91" s="128">
        <f t="shared" ref="B91" si="90">B88+1</f>
        <v>22</v>
      </c>
      <c r="C91" s="155">
        <f>C90</f>
        <v>81.437976345471327</v>
      </c>
      <c r="D91" s="156">
        <f>D88</f>
        <v>9.2052169264943409</v>
      </c>
      <c r="E91" s="157"/>
      <c r="F91" s="156">
        <f>IF('Cyclops TH'!$I$6="x",C91,0)</f>
        <v>81.437976345471327</v>
      </c>
      <c r="G91" s="156">
        <f>IF('Cyclops TH'!$I$6="x",D91,0)</f>
        <v>9.2052169264943409</v>
      </c>
      <c r="H91" s="157"/>
      <c r="I91" s="157"/>
      <c r="J91" s="156">
        <f>J90</f>
        <v>81.437976345471327</v>
      </c>
      <c r="K91" s="156">
        <f>K90</f>
        <v>5.5551084632471701</v>
      </c>
      <c r="L91" s="157"/>
      <c r="M91" s="156">
        <f>M90</f>
        <v>12.034333314069968</v>
      </c>
      <c r="N91" s="156">
        <f>N90</f>
        <v>98.537449140872681</v>
      </c>
      <c r="O91" s="156"/>
      <c r="P91" s="156"/>
      <c r="Q91" s="167">
        <f t="shared" si="88"/>
        <v>463.56377483239066</v>
      </c>
      <c r="R91" s="185">
        <f t="shared" si="46"/>
        <v>231.78188741619533</v>
      </c>
      <c r="S91" s="185">
        <f t="shared" si="47"/>
        <v>-231.78188741619533</v>
      </c>
      <c r="T91" s="186">
        <f t="shared" si="6"/>
        <v>15.798462802594599</v>
      </c>
      <c r="U91" s="185">
        <f t="shared" si="7"/>
        <v>239.68111881749263</v>
      </c>
      <c r="V91" s="185">
        <f t="shared" si="48"/>
        <v>-239.68111881749263</v>
      </c>
    </row>
    <row r="92" spans="1:22" x14ac:dyDescent="0.2">
      <c r="A92" s="109"/>
      <c r="B92" s="11"/>
      <c r="C92" s="168"/>
      <c r="D92" s="169"/>
      <c r="E92" s="169"/>
      <c r="F92" s="161"/>
      <c r="G92" s="162"/>
      <c r="H92" s="169"/>
      <c r="I92" s="169"/>
      <c r="J92" s="162">
        <f>J91</f>
        <v>81.437976345471327</v>
      </c>
      <c r="K92" s="162">
        <f>K91</f>
        <v>5.5551084632471701</v>
      </c>
      <c r="L92" s="169"/>
      <c r="M92" s="162">
        <f>((H90-H87)^2+(I90-I87)^2)^0.5</f>
        <v>1.9050000000000011</v>
      </c>
      <c r="N92" s="162">
        <f>N89+M92</f>
        <v>100.44244914087268</v>
      </c>
      <c r="O92" s="162">
        <f t="shared" ref="O92" si="91">$O$14</f>
        <v>31.750000000000004</v>
      </c>
      <c r="P92" s="162">
        <v>2</v>
      </c>
      <c r="Q92" s="164">
        <f t="shared" ref="Q92" si="92">((C90-C91)^2+(D90-D91)^2)^0.5*O92*P92</f>
        <v>463.56377483239066</v>
      </c>
      <c r="R92" s="185">
        <f t="shared" si="46"/>
        <v>231.78188741619533</v>
      </c>
      <c r="S92" s="185">
        <f t="shared" si="47"/>
        <v>-231.78188741619533</v>
      </c>
      <c r="T92" s="186">
        <f t="shared" si="6"/>
        <v>18.299390773059258</v>
      </c>
      <c r="U92" s="185">
        <f t="shared" si="7"/>
        <v>240.93158280272496</v>
      </c>
      <c r="V92" s="185">
        <f t="shared" si="48"/>
        <v>-240.93158280272496</v>
      </c>
    </row>
    <row r="93" spans="1:22" x14ac:dyDescent="0.2">
      <c r="A93" s="109"/>
      <c r="B93" s="11"/>
      <c r="C93" s="151">
        <f>(C91+Panels!C9)/2</f>
        <v>85.486488172735662</v>
      </c>
      <c r="D93" s="152">
        <f>D90</f>
        <v>1.905</v>
      </c>
      <c r="E93" s="153"/>
      <c r="F93" s="152">
        <f>IF('Cyclops TH'!$I$6="x",C93,0)</f>
        <v>85.486488172735662</v>
      </c>
      <c r="G93" s="152">
        <f>IF('Cyclops TH'!$I$6="x",D93,0)</f>
        <v>1.905</v>
      </c>
      <c r="H93" s="152">
        <f>SUM(C93:C94)/2</f>
        <v>83.462232259103502</v>
      </c>
      <c r="I93" s="152">
        <f>SUM(D93:D94)/2</f>
        <v>5.5551084632471701</v>
      </c>
      <c r="J93" s="152">
        <f>IF('Cyclops TH'!$I$5="x",H93,"")</f>
        <v>83.462232259103502</v>
      </c>
      <c r="K93" s="152">
        <f>IF('Cyclops TH'!$I$5="x",I93,"")</f>
        <v>5.5551084632471701</v>
      </c>
      <c r="L93" s="153"/>
      <c r="M93" s="152">
        <f>M92</f>
        <v>1.9050000000000011</v>
      </c>
      <c r="N93" s="152">
        <f>N92</f>
        <v>100.44244914087268</v>
      </c>
      <c r="O93" s="152"/>
      <c r="P93" s="152"/>
      <c r="Q93" s="166">
        <f t="shared" ref="Q93:Q94" si="93">Q92</f>
        <v>463.56377483239066</v>
      </c>
      <c r="R93" s="185">
        <f t="shared" ref="R93:R119" si="94">Q93/2</f>
        <v>231.78188741619533</v>
      </c>
      <c r="S93" s="185">
        <f t="shared" ref="S93:S119" si="95">-R93</f>
        <v>-231.78188741619533</v>
      </c>
      <c r="T93" s="186">
        <f t="shared" si="6"/>
        <v>18.299390773059258</v>
      </c>
      <c r="U93" s="185">
        <f t="shared" si="7"/>
        <v>240.93158280272496</v>
      </c>
      <c r="V93" s="185">
        <f t="shared" ref="V93:V119" si="96">-U93</f>
        <v>-240.93158280272496</v>
      </c>
    </row>
    <row r="94" spans="1:22" x14ac:dyDescent="0.2">
      <c r="A94" s="1">
        <f t="shared" ref="A94" si="97">A97+1</f>
        <v>25</v>
      </c>
      <c r="B94" s="128">
        <f t="shared" ref="B94" si="98">B91+1</f>
        <v>23</v>
      </c>
      <c r="C94" s="155">
        <f>C91</f>
        <v>81.437976345471327</v>
      </c>
      <c r="D94" s="156">
        <f>D91</f>
        <v>9.2052169264943409</v>
      </c>
      <c r="E94" s="157"/>
      <c r="F94" s="156">
        <f>IF('Cyclops TH'!$I$6="x",C94,0)</f>
        <v>81.437976345471327</v>
      </c>
      <c r="G94" s="156">
        <f>IF('Cyclops TH'!$I$6="x",D94,0)</f>
        <v>9.2052169264943409</v>
      </c>
      <c r="H94" s="173"/>
      <c r="I94" s="174"/>
      <c r="J94" s="156">
        <f>J93</f>
        <v>83.462232259103502</v>
      </c>
      <c r="K94" s="156">
        <f>K93</f>
        <v>5.5551084632471701</v>
      </c>
      <c r="L94" s="157"/>
      <c r="M94" s="156">
        <f>M93</f>
        <v>1.9050000000000011</v>
      </c>
      <c r="N94" s="156">
        <f>N93</f>
        <v>100.44244914087268</v>
      </c>
      <c r="O94" s="156"/>
      <c r="P94" s="156"/>
      <c r="Q94" s="167">
        <f t="shared" si="93"/>
        <v>463.56377483239066</v>
      </c>
      <c r="R94" s="185">
        <f t="shared" si="94"/>
        <v>231.78188741619533</v>
      </c>
      <c r="S94" s="185">
        <f t="shared" si="95"/>
        <v>-231.78188741619533</v>
      </c>
      <c r="T94" s="186">
        <f t="shared" ref="T94:T122" si="99">(U94-R94)*2</f>
        <v>18.299390773059258</v>
      </c>
      <c r="U94" s="185">
        <f t="shared" ref="U94:U104" si="100">(($D$9-$D$7)*N94/$E$9+$D$7)/2</f>
        <v>240.93158280272496</v>
      </c>
      <c r="V94" s="185">
        <f t="shared" si="96"/>
        <v>-240.93158280272496</v>
      </c>
    </row>
    <row r="95" spans="1:22" x14ac:dyDescent="0.2">
      <c r="A95" s="109"/>
      <c r="B95" s="11"/>
      <c r="C95" s="155"/>
      <c r="D95" s="156"/>
      <c r="E95" s="157"/>
      <c r="F95" s="161"/>
      <c r="G95" s="162"/>
      <c r="H95" s="173"/>
      <c r="I95" s="174"/>
      <c r="J95" s="156">
        <f>J94</f>
        <v>83.462232259103502</v>
      </c>
      <c r="K95" s="156">
        <f>K94</f>
        <v>5.5551084632471701</v>
      </c>
      <c r="L95" s="157"/>
      <c r="M95" s="162">
        <f>((H93-H90)^2+(I93-I90)^2)^0.5</f>
        <v>2.0242559136321745</v>
      </c>
      <c r="N95" s="156">
        <f>N92+M95</f>
        <v>102.46670505450486</v>
      </c>
      <c r="O95" s="162">
        <f t="shared" ref="O95" si="101">$O$14</f>
        <v>31.750000000000004</v>
      </c>
      <c r="P95" s="162">
        <v>2</v>
      </c>
      <c r="Q95" s="164">
        <f t="shared" ref="Q95" si="102">((C93-C94)^2+(D93-D94)^2)^0.5*O95*P95</f>
        <v>530.07712396155341</v>
      </c>
      <c r="R95" s="185">
        <f t="shared" si="94"/>
        <v>265.03856198077671</v>
      </c>
      <c r="S95" s="185">
        <f t="shared" si="95"/>
        <v>-265.03856198077671</v>
      </c>
      <c r="T95" s="186">
        <f t="shared" si="99"/>
        <v>-45.556468469604226</v>
      </c>
      <c r="U95" s="185">
        <f t="shared" si="100"/>
        <v>242.26032774597459</v>
      </c>
      <c r="V95" s="185">
        <f t="shared" si="96"/>
        <v>-242.26032774597459</v>
      </c>
    </row>
    <row r="96" spans="1:22" x14ac:dyDescent="0.2">
      <c r="A96" s="109"/>
      <c r="B96" s="11"/>
      <c r="C96" s="151">
        <f>Panels!C9</f>
        <v>89.534999999999997</v>
      </c>
      <c r="D96" s="152">
        <f>(D93+D94)/2</f>
        <v>5.5551084632471701</v>
      </c>
      <c r="E96" s="153"/>
      <c r="F96" s="152">
        <f>IF('Cyclops TH'!$I$6="x",C96,0)</f>
        <v>89.534999999999997</v>
      </c>
      <c r="G96" s="152">
        <f>IF('Cyclops TH'!$I$6="x",D96,0)</f>
        <v>5.5551084632471701</v>
      </c>
      <c r="H96" s="152">
        <f>SUM(C96:C97)/2</f>
        <v>85.486488172735662</v>
      </c>
      <c r="I96" s="152">
        <f>SUM(D96:D97)/2</f>
        <v>7.380162694870755</v>
      </c>
      <c r="J96" s="152">
        <f>IF('Cyclops TH'!$I$5="x",H96,"")</f>
        <v>85.486488172735662</v>
      </c>
      <c r="K96" s="152">
        <f>IF('Cyclops TH'!$I$5="x",I96,"")</f>
        <v>7.380162694870755</v>
      </c>
      <c r="L96" s="153"/>
      <c r="M96" s="152">
        <f>M95</f>
        <v>2.0242559136321745</v>
      </c>
      <c r="N96" s="152">
        <f>N95</f>
        <v>102.46670505450486</v>
      </c>
      <c r="O96" s="152"/>
      <c r="P96" s="152"/>
      <c r="Q96" s="166">
        <f t="shared" ref="Q96:Q97" si="103">Q95</f>
        <v>530.07712396155341</v>
      </c>
      <c r="R96" s="185">
        <f t="shared" si="94"/>
        <v>265.03856198077671</v>
      </c>
      <c r="S96" s="185">
        <f t="shared" si="95"/>
        <v>-265.03856198077671</v>
      </c>
      <c r="T96" s="186">
        <f t="shared" si="99"/>
        <v>-45.556468469604226</v>
      </c>
      <c r="U96" s="185">
        <f t="shared" si="100"/>
        <v>242.26032774597459</v>
      </c>
      <c r="V96" s="185">
        <f t="shared" si="96"/>
        <v>-242.26032774597459</v>
      </c>
    </row>
    <row r="97" spans="1:22" x14ac:dyDescent="0.2">
      <c r="A97" s="1">
        <f t="shared" ref="A97" si="104">A100+1</f>
        <v>24</v>
      </c>
      <c r="B97" s="128">
        <f t="shared" ref="B97" si="105">B94+1</f>
        <v>24</v>
      </c>
      <c r="C97" s="155">
        <f>C94</f>
        <v>81.437976345471327</v>
      </c>
      <c r="D97" s="156">
        <f>D94</f>
        <v>9.2052169264943409</v>
      </c>
      <c r="E97" s="157"/>
      <c r="F97" s="156">
        <f>IF('Cyclops TH'!$I$6="x",C97,0)</f>
        <v>81.437976345471327</v>
      </c>
      <c r="G97" s="156">
        <f>IF('Cyclops TH'!$I$6="x",D97,0)</f>
        <v>9.2052169264943409</v>
      </c>
      <c r="H97" s="173"/>
      <c r="I97" s="174"/>
      <c r="J97" s="156">
        <f>J96</f>
        <v>85.486488172735662</v>
      </c>
      <c r="K97" s="156">
        <f>K96</f>
        <v>7.380162694870755</v>
      </c>
      <c r="L97" s="157"/>
      <c r="M97" s="156">
        <f>M96</f>
        <v>2.0242559136321745</v>
      </c>
      <c r="N97" s="156">
        <f>N96</f>
        <v>102.46670505450486</v>
      </c>
      <c r="O97" s="156"/>
      <c r="P97" s="156"/>
      <c r="Q97" s="167">
        <f t="shared" si="103"/>
        <v>530.07712396155341</v>
      </c>
      <c r="R97" s="185">
        <f t="shared" si="94"/>
        <v>265.03856198077671</v>
      </c>
      <c r="S97" s="185">
        <f t="shared" si="95"/>
        <v>-265.03856198077671</v>
      </c>
      <c r="T97" s="186">
        <f t="shared" si="99"/>
        <v>-45.556468469604226</v>
      </c>
      <c r="U97" s="185">
        <f t="shared" si="100"/>
        <v>242.26032774597459</v>
      </c>
      <c r="V97" s="185">
        <f t="shared" si="96"/>
        <v>-242.26032774597459</v>
      </c>
    </row>
    <row r="98" spans="1:22" x14ac:dyDescent="0.2">
      <c r="A98" s="109"/>
      <c r="B98" s="11"/>
      <c r="C98" s="168"/>
      <c r="D98" s="169"/>
      <c r="E98" s="169"/>
      <c r="F98" s="161"/>
      <c r="G98" s="162"/>
      <c r="H98" s="169"/>
      <c r="I98" s="169"/>
      <c r="J98" s="162">
        <f>J97</f>
        <v>85.486488172735662</v>
      </c>
      <c r="K98" s="162">
        <f>K97</f>
        <v>7.380162694870755</v>
      </c>
      <c r="L98" s="169"/>
      <c r="M98" s="162">
        <f>((H96-H93)^2+(I96-I93)^2)^0.5</f>
        <v>2.7255155388003067</v>
      </c>
      <c r="N98" s="156">
        <f>N95+M98</f>
        <v>105.19222059330517</v>
      </c>
      <c r="O98" s="162">
        <f t="shared" ref="O98" si="106">$O$14</f>
        <v>31.750000000000004</v>
      </c>
      <c r="P98" s="162">
        <v>2</v>
      </c>
      <c r="Q98" s="164">
        <f t="shared" ref="Q98" si="107">((C96-C97)^2+(D96-D97)^2)^0.5*O98*P98</f>
        <v>563.98969793445747</v>
      </c>
      <c r="R98" s="185">
        <f t="shared" si="94"/>
        <v>281.99484896722873</v>
      </c>
      <c r="S98" s="185">
        <f t="shared" si="95"/>
        <v>-281.99484896722873</v>
      </c>
      <c r="T98" s="186">
        <f t="shared" si="99"/>
        <v>-75.890922733887919</v>
      </c>
      <c r="U98" s="185">
        <f t="shared" si="100"/>
        <v>244.04938760028477</v>
      </c>
      <c r="V98" s="185">
        <f t="shared" si="96"/>
        <v>-244.04938760028477</v>
      </c>
    </row>
    <row r="99" spans="1:22" x14ac:dyDescent="0.2">
      <c r="A99" s="109"/>
      <c r="B99" s="11"/>
      <c r="C99" s="155">
        <f>C96</f>
        <v>89.534999999999997</v>
      </c>
      <c r="D99" s="156">
        <f>D97</f>
        <v>9.2052169264943409</v>
      </c>
      <c r="E99" s="157"/>
      <c r="F99" s="152">
        <f>IF('Cyclops TH'!$I$6="x",C99,0)</f>
        <v>89.534999999999997</v>
      </c>
      <c r="G99" s="152">
        <f>IF('Cyclops TH'!$I$6="x",D99,0)</f>
        <v>9.2052169264943409</v>
      </c>
      <c r="H99" s="156">
        <f>SUM(C99:C100)/2</f>
        <v>85.486488172735662</v>
      </c>
      <c r="I99" s="156">
        <f>SUM(D99:D100)/2</f>
        <v>9.2052169264943409</v>
      </c>
      <c r="J99" s="156">
        <f>IF('Cyclops TH'!$I$5="x",H99,"")</f>
        <v>85.486488172735662</v>
      </c>
      <c r="K99" s="156">
        <f>IF('Cyclops TH'!$I$5="x",I99,"")</f>
        <v>9.2052169264943409</v>
      </c>
      <c r="L99" s="157"/>
      <c r="M99" s="156">
        <f>M98</f>
        <v>2.7255155388003067</v>
      </c>
      <c r="N99" s="152">
        <f>N98</f>
        <v>105.19222059330517</v>
      </c>
      <c r="O99" s="152"/>
      <c r="P99" s="152"/>
      <c r="Q99" s="166">
        <f t="shared" ref="Q99:Q100" si="108">Q98</f>
        <v>563.98969793445747</v>
      </c>
      <c r="R99" s="185">
        <f t="shared" si="94"/>
        <v>281.99484896722873</v>
      </c>
      <c r="S99" s="185">
        <f t="shared" si="95"/>
        <v>-281.99484896722873</v>
      </c>
      <c r="T99" s="186">
        <f t="shared" si="99"/>
        <v>-75.890922733887919</v>
      </c>
      <c r="U99" s="185">
        <f t="shared" si="100"/>
        <v>244.04938760028477</v>
      </c>
      <c r="V99" s="185">
        <f t="shared" si="96"/>
        <v>-244.04938760028477</v>
      </c>
    </row>
    <row r="100" spans="1:22" x14ac:dyDescent="0.2">
      <c r="A100" s="1">
        <f t="shared" ref="A100:A103" si="109">A103+1</f>
        <v>23</v>
      </c>
      <c r="B100" s="128">
        <f t="shared" ref="B100" si="110">B97+1</f>
        <v>25</v>
      </c>
      <c r="C100" s="155">
        <f>C97</f>
        <v>81.437976345471327</v>
      </c>
      <c r="D100" s="156">
        <f>D97</f>
        <v>9.2052169264943409</v>
      </c>
      <c r="E100" s="157"/>
      <c r="F100" s="156">
        <f>IF('Cyclops TH'!$I$6="x",C100,0)</f>
        <v>81.437976345471327</v>
      </c>
      <c r="G100" s="156">
        <f>IF('Cyclops TH'!$I$6="x",D100,0)</f>
        <v>9.2052169264943409</v>
      </c>
      <c r="H100" s="173"/>
      <c r="I100" s="174"/>
      <c r="J100" s="156">
        <f>J99</f>
        <v>85.486488172735662</v>
      </c>
      <c r="K100" s="156">
        <f>K99</f>
        <v>9.2052169264943409</v>
      </c>
      <c r="L100" s="157"/>
      <c r="M100" s="156">
        <f>M99</f>
        <v>2.7255155388003067</v>
      </c>
      <c r="N100" s="156">
        <f>N99</f>
        <v>105.19222059330517</v>
      </c>
      <c r="O100" s="156"/>
      <c r="P100" s="156"/>
      <c r="Q100" s="167">
        <f t="shared" si="108"/>
        <v>563.98969793445747</v>
      </c>
      <c r="R100" s="185">
        <f t="shared" si="94"/>
        <v>281.99484896722873</v>
      </c>
      <c r="S100" s="185">
        <f t="shared" si="95"/>
        <v>-281.99484896722873</v>
      </c>
      <c r="T100" s="186">
        <f t="shared" si="99"/>
        <v>-75.890922733887919</v>
      </c>
      <c r="U100" s="185">
        <f t="shared" si="100"/>
        <v>244.04938760028477</v>
      </c>
      <c r="V100" s="185">
        <f t="shared" si="96"/>
        <v>-244.04938760028477</v>
      </c>
    </row>
    <row r="101" spans="1:22" x14ac:dyDescent="0.2">
      <c r="A101" s="109"/>
      <c r="B101" s="11"/>
      <c r="C101" s="172"/>
      <c r="D101" s="157"/>
      <c r="E101" s="157"/>
      <c r="F101" s="174"/>
      <c r="G101" s="156"/>
      <c r="H101" s="157"/>
      <c r="I101" s="157"/>
      <c r="J101" s="156">
        <f>J100</f>
        <v>85.486488172735662</v>
      </c>
      <c r="K101" s="156">
        <f>K100</f>
        <v>9.2052169264943409</v>
      </c>
      <c r="L101" s="157"/>
      <c r="M101" s="156">
        <f>((H99-H96)^2+(I99-I96)^2)^0.5</f>
        <v>1.8250542316235858</v>
      </c>
      <c r="N101" s="156">
        <f>N98+M101</f>
        <v>107.01727482492875</v>
      </c>
      <c r="O101" s="156">
        <f t="shared" ref="O101" si="111">$O$14</f>
        <v>31.750000000000004</v>
      </c>
      <c r="P101" s="156">
        <v>2</v>
      </c>
      <c r="Q101" s="167">
        <f t="shared" ref="Q101" si="112">((C99-C100)^2+(D99-D100)^2)^0.5*O101*P101</f>
        <v>514.16100206257056</v>
      </c>
      <c r="R101" s="185">
        <f t="shared" si="94"/>
        <v>257.08050103128528</v>
      </c>
      <c r="S101" s="185">
        <f t="shared" si="95"/>
        <v>-257.08050103128528</v>
      </c>
      <c r="T101" s="186">
        <f t="shared" si="99"/>
        <v>-23.666253541537912</v>
      </c>
      <c r="U101" s="185">
        <f t="shared" si="100"/>
        <v>245.24737426051632</v>
      </c>
      <c r="V101" s="185">
        <f t="shared" si="96"/>
        <v>-245.24737426051632</v>
      </c>
    </row>
    <row r="102" spans="1:22" x14ac:dyDescent="0.2">
      <c r="A102" s="1"/>
      <c r="B102" s="11"/>
      <c r="C102" s="151">
        <f>Panels!C10</f>
        <v>89.534999999999997</v>
      </c>
      <c r="D102" s="152">
        <f>D103</f>
        <v>27.232303214400272</v>
      </c>
      <c r="E102" s="153"/>
      <c r="F102" s="152">
        <f>IF('Cyclops TH'!$I$6="x",C102,0)</f>
        <v>89.534999999999997</v>
      </c>
      <c r="G102" s="152">
        <f>IF('Cyclops TH'!$I$6="x",D102,0)</f>
        <v>27.232303214400272</v>
      </c>
      <c r="H102" s="152">
        <f>SUM(C102:C103)/2</f>
        <v>85.486488172735662</v>
      </c>
      <c r="I102" s="152">
        <f>SUM(D102:D103)/2</f>
        <v>27.232303214400272</v>
      </c>
      <c r="J102" s="152">
        <f>IF('Cyclops TH'!$I$5="x",H102,"")</f>
        <v>85.486488172735662</v>
      </c>
      <c r="K102" s="152">
        <f>IF('Cyclops TH'!$I$5="x",I102,"")</f>
        <v>27.232303214400272</v>
      </c>
      <c r="L102" s="153"/>
      <c r="M102" s="152">
        <f>M101</f>
        <v>1.8250542316235858</v>
      </c>
      <c r="N102" s="152">
        <f>N101</f>
        <v>107.01727482492875</v>
      </c>
      <c r="O102" s="152"/>
      <c r="P102" s="152"/>
      <c r="Q102" s="166">
        <f t="shared" ref="Q102:Q103" si="113">Q101</f>
        <v>514.16100206257056</v>
      </c>
      <c r="R102" s="185">
        <f t="shared" si="94"/>
        <v>257.08050103128528</v>
      </c>
      <c r="S102" s="185">
        <f t="shared" si="95"/>
        <v>-257.08050103128528</v>
      </c>
      <c r="T102" s="186">
        <f t="shared" si="99"/>
        <v>-23.666253541537912</v>
      </c>
      <c r="U102" s="185">
        <f t="shared" si="100"/>
        <v>245.24737426051632</v>
      </c>
      <c r="V102" s="185">
        <f t="shared" si="96"/>
        <v>-245.24737426051632</v>
      </c>
    </row>
    <row r="103" spans="1:22" ht="12" thickBot="1" x14ac:dyDescent="0.25">
      <c r="A103" s="1">
        <f t="shared" si="109"/>
        <v>22</v>
      </c>
      <c r="B103" s="128">
        <f t="shared" ref="B103" si="114">B100+1</f>
        <v>26</v>
      </c>
      <c r="C103" s="155">
        <f>Panels!C52</f>
        <v>81.437976345471327</v>
      </c>
      <c r="D103" s="156">
        <f>Panels!D52</f>
        <v>27.232303214400272</v>
      </c>
      <c r="E103" s="180"/>
      <c r="F103" s="156">
        <f>IF('Cyclops TH'!$I$6="x",C103,0)</f>
        <v>81.437976345471327</v>
      </c>
      <c r="G103" s="156">
        <f>IF('Cyclops TH'!$I$6="x",D103,0)</f>
        <v>27.232303214400272</v>
      </c>
      <c r="H103" s="173"/>
      <c r="I103" s="174"/>
      <c r="J103" s="156">
        <f>J102</f>
        <v>85.486488172735662</v>
      </c>
      <c r="K103" s="156">
        <f>K102</f>
        <v>27.232303214400272</v>
      </c>
      <c r="L103" s="157"/>
      <c r="M103" s="156">
        <f>M102</f>
        <v>1.8250542316235858</v>
      </c>
      <c r="N103" s="156">
        <f>N102</f>
        <v>107.01727482492875</v>
      </c>
      <c r="O103" s="156"/>
      <c r="P103" s="156"/>
      <c r="Q103" s="167">
        <f t="shared" si="113"/>
        <v>514.16100206257056</v>
      </c>
      <c r="R103" s="185">
        <f t="shared" si="94"/>
        <v>257.08050103128528</v>
      </c>
      <c r="S103" s="185">
        <f t="shared" si="95"/>
        <v>-257.08050103128528</v>
      </c>
      <c r="T103" s="186">
        <f t="shared" si="99"/>
        <v>-23.666253541537912</v>
      </c>
      <c r="U103" s="185">
        <f t="shared" si="100"/>
        <v>245.24737426051632</v>
      </c>
      <c r="V103" s="185">
        <f t="shared" si="96"/>
        <v>-245.24737426051632</v>
      </c>
    </row>
    <row r="104" spans="1:22" ht="12" thickBot="1" x14ac:dyDescent="0.25">
      <c r="A104" s="109"/>
      <c r="B104" s="11"/>
      <c r="C104" s="172"/>
      <c r="D104" s="157"/>
      <c r="E104" s="157"/>
      <c r="F104" s="174"/>
      <c r="G104" s="156"/>
      <c r="H104" s="157"/>
      <c r="I104" s="157"/>
      <c r="J104" s="156">
        <f>J103</f>
        <v>85.486488172735662</v>
      </c>
      <c r="K104" s="156">
        <f>K103</f>
        <v>27.232303214400272</v>
      </c>
      <c r="L104" s="157"/>
      <c r="M104" s="156">
        <f>((H102-H99)^2+(I102-I99)^2)^0.5</f>
        <v>18.027086287905931</v>
      </c>
      <c r="N104" s="156">
        <f>N101+M104</f>
        <v>125.04436111283468</v>
      </c>
      <c r="O104" s="156">
        <f t="shared" ref="O104" si="115">$O$14</f>
        <v>31.750000000000004</v>
      </c>
      <c r="P104" s="156">
        <v>2</v>
      </c>
      <c r="Q104" s="167">
        <f t="shared" ref="Q104" si="116">((C102-C103)^2+(D102-D103)^2)^0.5*O104*P104</f>
        <v>514.16100206257056</v>
      </c>
      <c r="R104" s="185">
        <f t="shared" si="94"/>
        <v>257.08050103128528</v>
      </c>
      <c r="S104" s="185">
        <f t="shared" si="95"/>
        <v>-257.08050103128528</v>
      </c>
      <c r="T104" s="187">
        <f t="shared" si="99"/>
        <v>1.2143137746534194E-4</v>
      </c>
      <c r="U104" s="185">
        <f t="shared" si="100"/>
        <v>257.08056174697401</v>
      </c>
      <c r="V104" s="185">
        <f t="shared" si="96"/>
        <v>-257.08056174697401</v>
      </c>
    </row>
    <row r="105" spans="1:22" x14ac:dyDescent="0.2">
      <c r="A105" s="109"/>
      <c r="B105" s="11"/>
      <c r="C105" s="151">
        <f>Panels!C10</f>
        <v>89.534999999999997</v>
      </c>
      <c r="D105" s="152">
        <f>D106</f>
        <v>45.313582677165357</v>
      </c>
      <c r="E105" s="153"/>
      <c r="F105" s="152">
        <f>IF('Cyclops TH'!$I$6="x",C105,0)</f>
        <v>89.534999999999997</v>
      </c>
      <c r="G105" s="152">
        <f>IF('Cyclops TH'!$I$6="x",D105,0)</f>
        <v>45.313582677165357</v>
      </c>
      <c r="H105" s="152">
        <f>SUM(C105:C106)/2</f>
        <v>85.299568629100719</v>
      </c>
      <c r="I105" s="152">
        <f>SUM(D105:D106)/2</f>
        <v>45.313582677165357</v>
      </c>
      <c r="J105" s="152">
        <f>IF('Cyclops TH'!$I$5="x",H105,"")</f>
        <v>85.299568629100719</v>
      </c>
      <c r="K105" s="152">
        <f>IF('Cyclops TH'!$I$5="x",I105,"")</f>
        <v>45.313582677165357</v>
      </c>
      <c r="L105" s="153"/>
      <c r="M105" s="152">
        <f>M104</f>
        <v>18.027086287905931</v>
      </c>
      <c r="N105" s="152">
        <f>N104</f>
        <v>125.04436111283468</v>
      </c>
      <c r="O105" s="152"/>
      <c r="P105" s="152"/>
      <c r="Q105" s="166">
        <f t="shared" ref="Q105:Q106" si="117">Q104</f>
        <v>514.16100206257056</v>
      </c>
      <c r="R105" s="185">
        <f t="shared" si="94"/>
        <v>257.08050103128528</v>
      </c>
      <c r="S105" s="185">
        <f t="shared" si="95"/>
        <v>-257.08050103128528</v>
      </c>
      <c r="T105" s="186">
        <f t="shared" ref="T105:T119" si="118">(U105-R105)*2</f>
        <v>1.2143137746534194E-4</v>
      </c>
      <c r="U105" s="185">
        <f t="shared" ref="U105:U119" si="119">(($D$9-$D$7)*N105/$E$9+$D$7)/2</f>
        <v>257.08056174697401</v>
      </c>
      <c r="V105" s="185">
        <f t="shared" si="96"/>
        <v>-257.08056174697401</v>
      </c>
    </row>
    <row r="106" spans="1:22" ht="12" thickBot="1" x14ac:dyDescent="0.25">
      <c r="A106" s="1">
        <f t="shared" ref="A106" si="120">A109+1</f>
        <v>21</v>
      </c>
      <c r="B106" s="128">
        <f t="shared" ref="B106" si="121">B103+1</f>
        <v>27</v>
      </c>
      <c r="C106" s="155">
        <f>Panels!C$89</f>
        <v>81.064137258201427</v>
      </c>
      <c r="D106" s="156">
        <f>Panels!D$89</f>
        <v>45.313582677165357</v>
      </c>
      <c r="E106" s="180"/>
      <c r="F106" s="156">
        <f>IF('Cyclops TH'!$I$6="x",C106,0)</f>
        <v>81.064137258201427</v>
      </c>
      <c r="G106" s="156">
        <f>IF('Cyclops TH'!$I$6="x",D106,0)</f>
        <v>45.313582677165357</v>
      </c>
      <c r="H106" s="173"/>
      <c r="I106" s="174"/>
      <c r="J106" s="156">
        <f>J105</f>
        <v>85.299568629100719</v>
      </c>
      <c r="K106" s="156">
        <f>K105</f>
        <v>45.313582677165357</v>
      </c>
      <c r="L106" s="157"/>
      <c r="M106" s="156">
        <f>M105</f>
        <v>18.027086287905931</v>
      </c>
      <c r="N106" s="156">
        <f>N105</f>
        <v>125.04436111283468</v>
      </c>
      <c r="O106" s="156"/>
      <c r="P106" s="156"/>
      <c r="Q106" s="167">
        <f t="shared" si="117"/>
        <v>514.16100206257056</v>
      </c>
      <c r="R106" s="185">
        <f t="shared" si="94"/>
        <v>257.08050103128528</v>
      </c>
      <c r="S106" s="185">
        <f t="shared" si="95"/>
        <v>-257.08050103128528</v>
      </c>
      <c r="T106" s="186">
        <f t="shared" si="118"/>
        <v>1.2143137746534194E-4</v>
      </c>
      <c r="U106" s="185">
        <f t="shared" si="119"/>
        <v>257.08056174697401</v>
      </c>
      <c r="V106" s="185">
        <f t="shared" si="96"/>
        <v>-257.08056174697401</v>
      </c>
    </row>
    <row r="107" spans="1:22" ht="12" thickBot="1" x14ac:dyDescent="0.25">
      <c r="A107" s="109"/>
      <c r="B107" s="11"/>
      <c r="C107" s="168"/>
      <c r="D107" s="169"/>
      <c r="E107" s="169"/>
      <c r="F107" s="161"/>
      <c r="G107" s="162"/>
      <c r="H107" s="169"/>
      <c r="I107" s="169"/>
      <c r="J107" s="162">
        <f>J106</f>
        <v>85.299568629100719</v>
      </c>
      <c r="K107" s="162">
        <f>K106</f>
        <v>45.313582677165357</v>
      </c>
      <c r="L107" s="169"/>
      <c r="M107" s="162">
        <f>((H105-H102)^2+(I105-I102)^2)^0.5</f>
        <v>18.082245599659437</v>
      </c>
      <c r="N107" s="162">
        <f>N104+M107</f>
        <v>143.12660671249412</v>
      </c>
      <c r="O107" s="162">
        <f t="shared" ref="O107" si="122">$O$14</f>
        <v>31.750000000000004</v>
      </c>
      <c r="P107" s="162">
        <v>2</v>
      </c>
      <c r="Q107" s="164">
        <f t="shared" ref="Q107" si="123">((C105-C106)^2+(D105-D106)^2)^0.5*O107*P107</f>
        <v>537.89978410420917</v>
      </c>
      <c r="R107" s="185">
        <f t="shared" si="94"/>
        <v>268.94989205210459</v>
      </c>
      <c r="S107" s="185">
        <f t="shared" si="95"/>
        <v>-268.94989205210459</v>
      </c>
      <c r="T107" s="187">
        <f t="shared" si="99"/>
        <v>1.287802899696544E-4</v>
      </c>
      <c r="U107" s="185">
        <f t="shared" si="119"/>
        <v>268.94995644224957</v>
      </c>
      <c r="V107" s="185">
        <f t="shared" si="96"/>
        <v>-268.94995644224957</v>
      </c>
    </row>
    <row r="108" spans="1:22" x14ac:dyDescent="0.2">
      <c r="A108" s="109"/>
      <c r="B108" s="11"/>
      <c r="C108" s="155">
        <f>C105</f>
        <v>89.534999999999997</v>
      </c>
      <c r="D108" s="156">
        <f>(D106+Panels!D42)/2</f>
        <v>49.644291338582676</v>
      </c>
      <c r="E108" s="157"/>
      <c r="F108" s="156">
        <f>IF('Cyclops TH'!$I$6="x",C108,0)</f>
        <v>89.534999999999997</v>
      </c>
      <c r="G108" s="156">
        <f>IF('Cyclops TH'!$I$6="x",D108,0)</f>
        <v>49.644291338582676</v>
      </c>
      <c r="H108" s="156">
        <f>SUM(C108:C109)/2</f>
        <v>85.299568629100719</v>
      </c>
      <c r="I108" s="156">
        <f>SUM(D108:D109)/2</f>
        <v>47.478937007874016</v>
      </c>
      <c r="J108" s="156">
        <f>IF('Cyclops TH'!$I$5="x",H108,"")</f>
        <v>85.299568629100719</v>
      </c>
      <c r="K108" s="156">
        <f>IF('Cyclops TH'!$I$5="x",I108,"")</f>
        <v>47.478937007874016</v>
      </c>
      <c r="L108" s="157"/>
      <c r="M108" s="156">
        <f>M107</f>
        <v>18.082245599659437</v>
      </c>
      <c r="N108" s="156">
        <f>N107</f>
        <v>143.12660671249412</v>
      </c>
      <c r="O108" s="156"/>
      <c r="P108" s="156"/>
      <c r="Q108" s="167">
        <f t="shared" ref="Q108:Q109" si="124">Q107</f>
        <v>537.89978410420917</v>
      </c>
      <c r="R108" s="185">
        <f t="shared" si="94"/>
        <v>268.94989205210459</v>
      </c>
      <c r="S108" s="185">
        <f t="shared" si="95"/>
        <v>-268.94989205210459</v>
      </c>
      <c r="T108" s="186">
        <f t="shared" si="118"/>
        <v>1.287802899696544E-4</v>
      </c>
      <c r="U108" s="185">
        <f t="shared" si="119"/>
        <v>268.94995644224957</v>
      </c>
      <c r="V108" s="185">
        <f t="shared" si="96"/>
        <v>-268.94995644224957</v>
      </c>
    </row>
    <row r="109" spans="1:22" x14ac:dyDescent="0.2">
      <c r="A109" s="1">
        <f t="shared" ref="A109" si="125">A112+1</f>
        <v>20</v>
      </c>
      <c r="B109" s="128">
        <f t="shared" ref="B109" si="126">B106+1</f>
        <v>28</v>
      </c>
      <c r="C109" s="155">
        <f>C106</f>
        <v>81.064137258201427</v>
      </c>
      <c r="D109" s="156">
        <f>D106</f>
        <v>45.313582677165357</v>
      </c>
      <c r="E109" s="157"/>
      <c r="F109" s="156">
        <f>IF('Cyclops TH'!$I$6="x",C109,0)</f>
        <v>81.064137258201427</v>
      </c>
      <c r="G109" s="156">
        <f>IF('Cyclops TH'!$I$6="x",D109,0)</f>
        <v>45.313582677165357</v>
      </c>
      <c r="H109" s="173"/>
      <c r="I109" s="174"/>
      <c r="J109" s="156">
        <f>J108</f>
        <v>85.299568629100719</v>
      </c>
      <c r="K109" s="156">
        <f>K108</f>
        <v>47.478937007874016</v>
      </c>
      <c r="L109" s="157"/>
      <c r="M109" s="156">
        <f>M108</f>
        <v>18.082245599659437</v>
      </c>
      <c r="N109" s="156">
        <f>N108</f>
        <v>143.12660671249412</v>
      </c>
      <c r="O109" s="156"/>
      <c r="P109" s="156"/>
      <c r="Q109" s="167">
        <f t="shared" si="124"/>
        <v>537.89978410420917</v>
      </c>
      <c r="R109" s="185">
        <f t="shared" si="94"/>
        <v>268.94989205210459</v>
      </c>
      <c r="S109" s="185">
        <f t="shared" si="95"/>
        <v>-268.94989205210459</v>
      </c>
      <c r="T109" s="186">
        <f t="shared" si="118"/>
        <v>1.287802899696544E-4</v>
      </c>
      <c r="U109" s="185">
        <f t="shared" si="119"/>
        <v>268.94995644224957</v>
      </c>
      <c r="V109" s="185">
        <f t="shared" si="96"/>
        <v>-268.94995644224957</v>
      </c>
    </row>
    <row r="110" spans="1:22" x14ac:dyDescent="0.2">
      <c r="A110" s="109"/>
      <c r="B110" s="11"/>
      <c r="C110" s="172"/>
      <c r="D110" s="157"/>
      <c r="E110" s="157"/>
      <c r="F110" s="161"/>
      <c r="G110" s="162"/>
      <c r="H110" s="157"/>
      <c r="I110" s="157"/>
      <c r="J110" s="156">
        <f>J109</f>
        <v>85.299568629100719</v>
      </c>
      <c r="K110" s="156">
        <f>K109</f>
        <v>47.478937007874016</v>
      </c>
      <c r="L110" s="157"/>
      <c r="M110" s="156">
        <f>((H108-H105)^2+(I108-I105)^2)^0.5</f>
        <v>2.1653543307086593</v>
      </c>
      <c r="N110" s="156">
        <f>N107+M110</f>
        <v>145.29196104320278</v>
      </c>
      <c r="O110" s="162">
        <f t="shared" ref="O110" si="127">$O$14</f>
        <v>31.750000000000004</v>
      </c>
      <c r="P110" s="162">
        <v>2</v>
      </c>
      <c r="Q110" s="164">
        <f t="shared" ref="Q110" si="128">((C108-C109)^2+(D108-D109)^2)^0.5*O110*P110</f>
        <v>604.12016829382117</v>
      </c>
      <c r="R110" s="185">
        <f t="shared" si="94"/>
        <v>302.06008414691058</v>
      </c>
      <c r="S110" s="185">
        <f t="shared" si="95"/>
        <v>-302.06008414691058</v>
      </c>
      <c r="T110" s="186">
        <f t="shared" si="118"/>
        <v>-63.377528264106331</v>
      </c>
      <c r="U110" s="185">
        <f t="shared" si="119"/>
        <v>270.37132001485742</v>
      </c>
      <c r="V110" s="185">
        <f t="shared" si="96"/>
        <v>-270.37132001485742</v>
      </c>
    </row>
    <row r="111" spans="1:22" x14ac:dyDescent="0.2">
      <c r="A111" s="109"/>
      <c r="B111" s="11"/>
      <c r="C111" s="151">
        <f>(C108+C109)/2</f>
        <v>85.299568629100719</v>
      </c>
      <c r="D111" s="152">
        <f>Panels!D42</f>
        <v>53.975000000000001</v>
      </c>
      <c r="E111" s="153"/>
      <c r="F111" s="152">
        <f>IF('Cyclops TH'!$I$6="x",C111,0)</f>
        <v>85.299568629100719</v>
      </c>
      <c r="G111" s="152">
        <f>IF('Cyclops TH'!$I$6="x",D111,0)</f>
        <v>53.975000000000001</v>
      </c>
      <c r="H111" s="152">
        <f>SUM(C111:C112)/2</f>
        <v>83.18185294365108</v>
      </c>
      <c r="I111" s="152">
        <f>SUM(D111:D112)/2</f>
        <v>49.644291338582676</v>
      </c>
      <c r="J111" s="152">
        <f>IF('Cyclops TH'!$I$5="x",H111,"")</f>
        <v>83.18185294365108</v>
      </c>
      <c r="K111" s="152">
        <f>IF('Cyclops TH'!$I$5="x",I111,"")</f>
        <v>49.644291338582676</v>
      </c>
      <c r="L111" s="153"/>
      <c r="M111" s="152">
        <f>M110</f>
        <v>2.1653543307086593</v>
      </c>
      <c r="N111" s="152">
        <f>N110</f>
        <v>145.29196104320278</v>
      </c>
      <c r="O111" s="152"/>
      <c r="P111" s="152"/>
      <c r="Q111" s="166">
        <f t="shared" ref="Q111:Q112" si="129">Q110</f>
        <v>604.12016829382117</v>
      </c>
      <c r="R111" s="185">
        <f t="shared" si="94"/>
        <v>302.06008414691058</v>
      </c>
      <c r="S111" s="185">
        <f t="shared" si="95"/>
        <v>-302.06008414691058</v>
      </c>
      <c r="T111" s="186">
        <f t="shared" si="118"/>
        <v>-63.377528264106331</v>
      </c>
      <c r="U111" s="185">
        <f t="shared" si="119"/>
        <v>270.37132001485742</v>
      </c>
      <c r="V111" s="185">
        <f t="shared" si="96"/>
        <v>-270.37132001485742</v>
      </c>
    </row>
    <row r="112" spans="1:22" x14ac:dyDescent="0.2">
      <c r="A112" s="1">
        <f t="shared" ref="A112" si="130">A115+1</f>
        <v>19</v>
      </c>
      <c r="B112" s="128">
        <f t="shared" ref="B112" si="131">B109+1</f>
        <v>29</v>
      </c>
      <c r="C112" s="155">
        <f>C109</f>
        <v>81.064137258201427</v>
      </c>
      <c r="D112" s="156">
        <f>D109</f>
        <v>45.313582677165357</v>
      </c>
      <c r="E112" s="157"/>
      <c r="F112" s="156">
        <f>IF('Cyclops TH'!$I$6="x",C112,0)</f>
        <v>81.064137258201427</v>
      </c>
      <c r="G112" s="156">
        <f>IF('Cyclops TH'!$I$6="x",D112,0)</f>
        <v>45.313582677165357</v>
      </c>
      <c r="H112" s="173"/>
      <c r="I112" s="174"/>
      <c r="J112" s="156">
        <f>J111</f>
        <v>83.18185294365108</v>
      </c>
      <c r="K112" s="156">
        <f>K111</f>
        <v>49.644291338582676</v>
      </c>
      <c r="L112" s="157"/>
      <c r="M112" s="156">
        <f>M111</f>
        <v>2.1653543307086593</v>
      </c>
      <c r="N112" s="156">
        <f>N111</f>
        <v>145.29196104320278</v>
      </c>
      <c r="O112" s="156"/>
      <c r="P112" s="156"/>
      <c r="Q112" s="167">
        <f t="shared" si="129"/>
        <v>604.12016829382117</v>
      </c>
      <c r="R112" s="185">
        <f t="shared" si="94"/>
        <v>302.06008414691058</v>
      </c>
      <c r="S112" s="185">
        <f t="shared" si="95"/>
        <v>-302.06008414691058</v>
      </c>
      <c r="T112" s="186">
        <f t="shared" si="118"/>
        <v>-63.377528264106331</v>
      </c>
      <c r="U112" s="185">
        <f t="shared" si="119"/>
        <v>270.37132001485742</v>
      </c>
      <c r="V112" s="185">
        <f t="shared" si="96"/>
        <v>-270.37132001485742</v>
      </c>
    </row>
    <row r="113" spans="1:33" x14ac:dyDescent="0.2">
      <c r="A113" s="109"/>
      <c r="B113" s="11"/>
      <c r="C113" s="168"/>
      <c r="D113" s="169"/>
      <c r="E113" s="169"/>
      <c r="F113" s="161"/>
      <c r="G113" s="162"/>
      <c r="H113" s="169"/>
      <c r="I113" s="169"/>
      <c r="J113" s="162">
        <f>J112</f>
        <v>83.18185294365108</v>
      </c>
      <c r="K113" s="162">
        <f>K112</f>
        <v>49.644291338582676</v>
      </c>
      <c r="L113" s="169"/>
      <c r="M113" s="162">
        <f>((H111-H108)^2+(I111-I108)^2)^0.5</f>
        <v>3.0287751818050443</v>
      </c>
      <c r="N113" s="162">
        <f>N110+M113</f>
        <v>148.32073622500781</v>
      </c>
      <c r="O113" s="162">
        <f t="shared" ref="O113" si="132">$O$14</f>
        <v>31.750000000000004</v>
      </c>
      <c r="P113" s="162">
        <v>2</v>
      </c>
      <c r="Q113" s="164">
        <f t="shared" ref="Q113" si="133">((C111-C112)^2+(D111-D112)^2)^0.5*O113*P113</f>
        <v>612.23691854937908</v>
      </c>
      <c r="R113" s="185">
        <f t="shared" si="94"/>
        <v>306.11845927468954</v>
      </c>
      <c r="S113" s="185">
        <f t="shared" si="95"/>
        <v>-306.11845927468954</v>
      </c>
      <c r="T113" s="186">
        <f t="shared" si="118"/>
        <v>-67.518032551986835</v>
      </c>
      <c r="U113" s="185">
        <f t="shared" si="119"/>
        <v>272.35944299869612</v>
      </c>
      <c r="V113" s="185">
        <f t="shared" si="96"/>
        <v>-272.35944299869612</v>
      </c>
    </row>
    <row r="114" spans="1:33" x14ac:dyDescent="0.2">
      <c r="A114" s="109"/>
      <c r="B114" s="11"/>
      <c r="C114" s="155">
        <f>C112</f>
        <v>81.064137258201427</v>
      </c>
      <c r="D114" s="156">
        <f>D111</f>
        <v>53.975000000000001</v>
      </c>
      <c r="E114" s="157"/>
      <c r="F114" s="152">
        <f>IF('Cyclops TH'!$I$6="x",C114,0)</f>
        <v>81.064137258201427</v>
      </c>
      <c r="G114" s="152">
        <f>IF('Cyclops TH'!$I$6="x",D114,0)</f>
        <v>53.975000000000001</v>
      </c>
      <c r="H114" s="156">
        <f>SUM(C114:C115)/2</f>
        <v>81.064137258201427</v>
      </c>
      <c r="I114" s="156">
        <f>SUM(D114:D115)/2</f>
        <v>49.644291338582676</v>
      </c>
      <c r="J114" s="156">
        <f>IF('Cyclops TH'!$I$5="x",H114,"")</f>
        <v>81.064137258201427</v>
      </c>
      <c r="K114" s="156">
        <f>IF('Cyclops TH'!$I$5="x",I114,"")</f>
        <v>49.644291338582676</v>
      </c>
      <c r="L114" s="157"/>
      <c r="M114" s="156">
        <f>M110</f>
        <v>2.1653543307086593</v>
      </c>
      <c r="N114" s="156">
        <f>N113</f>
        <v>148.32073622500781</v>
      </c>
      <c r="O114" s="152"/>
      <c r="P114" s="152"/>
      <c r="Q114" s="166">
        <f t="shared" ref="Q114:Q115" si="134">Q113</f>
        <v>612.23691854937908</v>
      </c>
      <c r="R114" s="185">
        <f t="shared" si="94"/>
        <v>306.11845927468954</v>
      </c>
      <c r="S114" s="185">
        <f t="shared" si="95"/>
        <v>-306.11845927468954</v>
      </c>
      <c r="T114" s="186">
        <f t="shared" si="118"/>
        <v>-67.518032551986835</v>
      </c>
      <c r="U114" s="185">
        <f t="shared" si="119"/>
        <v>272.35944299869612</v>
      </c>
      <c r="V114" s="185">
        <f t="shared" si="96"/>
        <v>-272.35944299869612</v>
      </c>
      <c r="Y114" s="1" t="str">
        <f>Panels!A39</f>
        <v>Panel E</v>
      </c>
      <c r="Z114" s="177">
        <f>Panels!C41</f>
        <v>70.895037846803291</v>
      </c>
      <c r="AA114" s="177">
        <f>Panels!D41</f>
        <v>53.975000000000001</v>
      </c>
      <c r="AB114" s="177">
        <f>Panels!C42</f>
        <v>91.44</v>
      </c>
      <c r="AC114" s="177">
        <f>Panels!D42</f>
        <v>53.975000000000001</v>
      </c>
      <c r="AD114" s="219">
        <f>IF(AB114-Z114&lt;&gt;0,(AC114-AA114)/(AB114-Z114),"vertical")</f>
        <v>0</v>
      </c>
      <c r="AE114" s="219">
        <f>IF(AD114&lt;&gt;"vertical",(AC114*Z114-AA114*AB114)/(Z114-AB114),AA114)</f>
        <v>53.975000000000009</v>
      </c>
    </row>
    <row r="115" spans="1:33" x14ac:dyDescent="0.2">
      <c r="A115" s="1">
        <f t="shared" ref="A115" si="135">A118+1</f>
        <v>18</v>
      </c>
      <c r="B115" s="128">
        <f t="shared" ref="B115" si="136">B112+1</f>
        <v>30</v>
      </c>
      <c r="C115" s="155">
        <f>C112</f>
        <v>81.064137258201427</v>
      </c>
      <c r="D115" s="156">
        <f>D112</f>
        <v>45.313582677165357</v>
      </c>
      <c r="E115" s="157"/>
      <c r="F115" s="156">
        <f>IF('Cyclops TH'!$I$6="x",C115,0)</f>
        <v>81.064137258201427</v>
      </c>
      <c r="G115" s="156">
        <f>IF('Cyclops TH'!$I$6="x",D115,0)</f>
        <v>45.313582677165357</v>
      </c>
      <c r="H115" s="173"/>
      <c r="I115" s="174"/>
      <c r="J115" s="156">
        <f>J114</f>
        <v>81.064137258201427</v>
      </c>
      <c r="K115" s="156">
        <f>K114</f>
        <v>49.644291338582676</v>
      </c>
      <c r="L115" s="157"/>
      <c r="M115" s="156">
        <f>M114</f>
        <v>2.1653543307086593</v>
      </c>
      <c r="N115" s="156">
        <f>N114</f>
        <v>148.32073622500781</v>
      </c>
      <c r="O115" s="156"/>
      <c r="P115" s="156"/>
      <c r="Q115" s="167">
        <f t="shared" si="134"/>
        <v>612.23691854937908</v>
      </c>
      <c r="R115" s="185">
        <f t="shared" si="94"/>
        <v>306.11845927468954</v>
      </c>
      <c r="S115" s="185">
        <f t="shared" si="95"/>
        <v>-306.11845927468954</v>
      </c>
      <c r="T115" s="186">
        <f t="shared" si="118"/>
        <v>-67.518032551986835</v>
      </c>
      <c r="U115" s="185">
        <f t="shared" si="119"/>
        <v>272.35944299869612</v>
      </c>
      <c r="V115" s="185">
        <f t="shared" si="96"/>
        <v>-272.35944299869612</v>
      </c>
      <c r="Y115" s="1" t="str">
        <f>Panels!A93</f>
        <v>Panel J</v>
      </c>
      <c r="Z115" s="177">
        <f>Panels!C95</f>
        <v>67.415808773208724</v>
      </c>
      <c r="AA115" s="177">
        <f>Panels!D95</f>
        <v>42.178720009805311</v>
      </c>
      <c r="AB115" s="177">
        <f>Panels!C96</f>
        <v>70.895037846803291</v>
      </c>
      <c r="AC115" s="177">
        <f>Panels!D96</f>
        <v>55.88</v>
      </c>
      <c r="AD115" s="219">
        <f>(AC115-AA115)/(AB115-Z115)</f>
        <v>3.938021814711731</v>
      </c>
      <c r="AE115" s="219">
        <f>(AC115*Z115-AA115*AB115)/(Z115-AB115)</f>
        <v>-223.30620559552511</v>
      </c>
      <c r="AF115" s="177">
        <f>IF(AD114&lt;&gt;"vertical",(AE114-AE115)/(AD115-AD114),Z114)</f>
        <v>70.411292431050825</v>
      </c>
      <c r="AG115" s="177">
        <f>AF115*AD115+AE115</f>
        <v>53.975000000000023</v>
      </c>
    </row>
    <row r="116" spans="1:33" x14ac:dyDescent="0.2">
      <c r="A116" s="109"/>
      <c r="B116" s="11"/>
      <c r="C116" s="172"/>
      <c r="D116" s="157"/>
      <c r="E116" s="157"/>
      <c r="F116" s="174"/>
      <c r="G116" s="156"/>
      <c r="H116" s="157"/>
      <c r="I116" s="157"/>
      <c r="J116" s="156">
        <f>J115</f>
        <v>81.064137258201427</v>
      </c>
      <c r="K116" s="156">
        <f>K115</f>
        <v>49.644291338582676</v>
      </c>
      <c r="L116" s="157"/>
      <c r="M116" s="156">
        <f>((H114-H111)^2+(I114-I111)^2)^0.5</f>
        <v>2.1177156854496531</v>
      </c>
      <c r="N116" s="156">
        <f>N113+M116</f>
        <v>150.43845191045745</v>
      </c>
      <c r="O116" s="156">
        <f t="shared" ref="O116" si="137">$O$14</f>
        <v>31.750000000000004</v>
      </c>
      <c r="P116" s="156">
        <v>2</v>
      </c>
      <c r="Q116" s="167">
        <f t="shared" ref="Q116" si="138">((C114-C115)^2+(D114-D115)^2)^0.5*O116*P116</f>
        <v>550</v>
      </c>
      <c r="R116" s="185">
        <f t="shared" si="94"/>
        <v>275</v>
      </c>
      <c r="S116" s="185">
        <f t="shared" si="95"/>
        <v>-275</v>
      </c>
      <c r="T116" s="186">
        <f t="shared" si="118"/>
        <v>-2.5009279704646588</v>
      </c>
      <c r="U116" s="185">
        <f t="shared" si="119"/>
        <v>273.74953601476767</v>
      </c>
      <c r="V116" s="185">
        <f t="shared" si="96"/>
        <v>-273.74953601476767</v>
      </c>
    </row>
    <row r="117" spans="1:33" x14ac:dyDescent="0.2">
      <c r="A117" s="109"/>
      <c r="B117" s="11"/>
      <c r="C117" s="151">
        <f>(C114+C120)/2</f>
        <v>80.111637258201426</v>
      </c>
      <c r="D117" s="152">
        <f>D115</f>
        <v>45.313582677165357</v>
      </c>
      <c r="E117" s="153"/>
      <c r="F117" s="152">
        <f>IF('Cyclops TH'!$I$6="x",C117,0)</f>
        <v>80.111637258201426</v>
      </c>
      <c r="G117" s="152">
        <f>IF('Cyclops TH'!$I$6="x",D117,0)</f>
        <v>45.313582677165357</v>
      </c>
      <c r="H117" s="152">
        <f>SUM(C117:C118)/2</f>
        <v>80.111637258201426</v>
      </c>
      <c r="I117" s="152">
        <f>SUM(D117:D118)/2</f>
        <v>49.644291338582676</v>
      </c>
      <c r="J117" s="152">
        <f>IF('Cyclops TH'!$I$5="x",H117,"")</f>
        <v>80.111637258201426</v>
      </c>
      <c r="K117" s="152">
        <f>IF('Cyclops TH'!$I$5="x",I117,"")</f>
        <v>49.644291338582676</v>
      </c>
      <c r="L117" s="153"/>
      <c r="M117" s="152">
        <f>M116</f>
        <v>2.1177156854496531</v>
      </c>
      <c r="N117" s="152">
        <f>N116</f>
        <v>150.43845191045745</v>
      </c>
      <c r="O117" s="152"/>
      <c r="P117" s="152"/>
      <c r="Q117" s="166">
        <f t="shared" ref="Q117:Q118" si="139">Q116</f>
        <v>550</v>
      </c>
      <c r="R117" s="185">
        <f t="shared" si="94"/>
        <v>275</v>
      </c>
      <c r="S117" s="185">
        <f t="shared" si="95"/>
        <v>-275</v>
      </c>
      <c r="T117" s="186">
        <f t="shared" si="118"/>
        <v>-2.5009279704646588</v>
      </c>
      <c r="U117" s="185">
        <f t="shared" si="119"/>
        <v>273.74953601476767</v>
      </c>
      <c r="V117" s="185">
        <f t="shared" si="96"/>
        <v>-273.74953601476767</v>
      </c>
    </row>
    <row r="118" spans="1:33" x14ac:dyDescent="0.2">
      <c r="A118" s="1">
        <f t="shared" ref="A118" si="140">A121+1</f>
        <v>17</v>
      </c>
      <c r="B118" s="128">
        <f t="shared" ref="B118" si="141">B115+1</f>
        <v>31</v>
      </c>
      <c r="C118" s="155">
        <f>(C115+C121)/2</f>
        <v>80.111637258201426</v>
      </c>
      <c r="D118" s="156">
        <f>D114</f>
        <v>53.975000000000001</v>
      </c>
      <c r="E118" s="180"/>
      <c r="F118" s="156">
        <f>IF('Cyclops TH'!$I$6="x",C118,0)</f>
        <v>80.111637258201426</v>
      </c>
      <c r="G118" s="156">
        <f>IF('Cyclops TH'!$I$6="x",D118,0)</f>
        <v>53.975000000000001</v>
      </c>
      <c r="H118" s="173"/>
      <c r="I118" s="174"/>
      <c r="J118" s="156">
        <f>J117</f>
        <v>80.111637258201426</v>
      </c>
      <c r="K118" s="156">
        <f>K117</f>
        <v>49.644291338582676</v>
      </c>
      <c r="L118" s="157"/>
      <c r="M118" s="156">
        <f>M117</f>
        <v>2.1177156854496531</v>
      </c>
      <c r="N118" s="156">
        <f>N117</f>
        <v>150.43845191045745</v>
      </c>
      <c r="O118" s="156"/>
      <c r="P118" s="156"/>
      <c r="Q118" s="167">
        <f t="shared" si="139"/>
        <v>550</v>
      </c>
      <c r="R118" s="185">
        <f t="shared" si="94"/>
        <v>275</v>
      </c>
      <c r="S118" s="185">
        <f t="shared" si="95"/>
        <v>-275</v>
      </c>
      <c r="T118" s="186">
        <f t="shared" si="118"/>
        <v>-2.5009279704646588</v>
      </c>
      <c r="U118" s="185">
        <f t="shared" si="119"/>
        <v>273.74953601476767</v>
      </c>
      <c r="V118" s="185">
        <f t="shared" si="96"/>
        <v>-273.74953601476767</v>
      </c>
    </row>
    <row r="119" spans="1:33" x14ac:dyDescent="0.2">
      <c r="A119" s="109"/>
      <c r="B119" s="11"/>
      <c r="C119" s="168"/>
      <c r="D119" s="169"/>
      <c r="E119" s="169"/>
      <c r="F119" s="161"/>
      <c r="G119" s="162"/>
      <c r="H119" s="169"/>
      <c r="I119" s="169"/>
      <c r="J119" s="162">
        <f>J118</f>
        <v>80.111637258201426</v>
      </c>
      <c r="K119" s="162">
        <f>K118</f>
        <v>49.644291338582676</v>
      </c>
      <c r="L119" s="169"/>
      <c r="M119" s="162">
        <f>((H117-H114)^2+(I117-I114)^2)^0.5</f>
        <v>0.95250000000000057</v>
      </c>
      <c r="N119" s="162">
        <f>N116+M119</f>
        <v>151.39095191045743</v>
      </c>
      <c r="O119" s="162">
        <f t="shared" ref="O119" si="142">$O$14</f>
        <v>31.750000000000004</v>
      </c>
      <c r="P119" s="162">
        <v>2</v>
      </c>
      <c r="Q119" s="164">
        <f t="shared" ref="Q119" si="143">((C117-C118)^2+(D117-D118)^2)^0.5*O119*P119</f>
        <v>550</v>
      </c>
      <c r="R119" s="185">
        <f t="shared" si="94"/>
        <v>275</v>
      </c>
      <c r="S119" s="185">
        <f t="shared" si="95"/>
        <v>-275</v>
      </c>
      <c r="T119" s="186">
        <f t="shared" si="118"/>
        <v>-1.2504639852322725</v>
      </c>
      <c r="U119" s="185">
        <f t="shared" si="119"/>
        <v>274.37476800738386</v>
      </c>
      <c r="V119" s="185">
        <f t="shared" si="96"/>
        <v>-274.37476800738386</v>
      </c>
    </row>
    <row r="120" spans="1:33" x14ac:dyDescent="0.2">
      <c r="A120" s="109"/>
      <c r="B120" s="11"/>
      <c r="C120" s="155">
        <f>Panels!C$88</f>
        <v>79.159137258201426</v>
      </c>
      <c r="D120" s="156">
        <f>Panels!D$88</f>
        <v>45.313582677165357</v>
      </c>
      <c r="E120" s="157"/>
      <c r="F120" s="156">
        <f>IF('Cyclops TH'!$I$6="x",C120,0)</f>
        <v>79.159137258201426</v>
      </c>
      <c r="G120" s="156">
        <f>IF('Cyclops TH'!$I$6="x",D120,0)</f>
        <v>45.313582677165357</v>
      </c>
      <c r="H120" s="156">
        <f>SUM(C120:C121)/2</f>
        <v>79.159137258201426</v>
      </c>
      <c r="I120" s="156">
        <f>SUM(D120:D121)/2</f>
        <v>49.644291338582676</v>
      </c>
      <c r="J120" s="156">
        <f>IF('Cyclops TH'!$I$5="x",H120,"")</f>
        <v>79.159137258201426</v>
      </c>
      <c r="K120" s="156">
        <f>IF('Cyclops TH'!$I$5="x",I120,"")</f>
        <v>49.644291338582676</v>
      </c>
      <c r="L120" s="157"/>
      <c r="M120" s="156">
        <f>M119</f>
        <v>0.95250000000000057</v>
      </c>
      <c r="N120" s="156">
        <f>N119</f>
        <v>151.39095191045743</v>
      </c>
      <c r="O120" s="156"/>
      <c r="P120" s="156"/>
      <c r="Q120" s="167">
        <f t="shared" ref="Q120:Q121" si="144">Q119</f>
        <v>550</v>
      </c>
      <c r="R120" s="182">
        <f t="shared" ref="R120:R164" si="145">Q120/2</f>
        <v>275</v>
      </c>
      <c r="S120" s="182">
        <f t="shared" ref="S120:S164" si="146">-R120</f>
        <v>-275</v>
      </c>
      <c r="T120" s="183">
        <f t="shared" si="99"/>
        <v>-16.418260681614242</v>
      </c>
      <c r="U120" s="182">
        <f t="shared" ref="U120:U122" si="147">(($D$11-$D$9)*(N120-$E$9)/($E$11-$E$9)+$D$9)/2</f>
        <v>266.79086965919288</v>
      </c>
      <c r="V120" s="182">
        <f t="shared" ref="V120:V164" si="148">-U120</f>
        <v>-266.79086965919288</v>
      </c>
    </row>
    <row r="121" spans="1:33" x14ac:dyDescent="0.2">
      <c r="A121" s="1">
        <f t="shared" ref="A121" si="149">A124+1</f>
        <v>16</v>
      </c>
      <c r="B121" s="128">
        <f t="shared" ref="B121" si="150">B118+1</f>
        <v>32</v>
      </c>
      <c r="C121" s="155">
        <f>C120</f>
        <v>79.159137258201426</v>
      </c>
      <c r="D121" s="156">
        <f>D114</f>
        <v>53.975000000000001</v>
      </c>
      <c r="E121" s="180" t="s">
        <v>88</v>
      </c>
      <c r="F121" s="156">
        <f>IF('Cyclops TH'!$I$6="x",C121,0)</f>
        <v>79.159137258201426</v>
      </c>
      <c r="G121" s="156">
        <f>IF('Cyclops TH'!$I$6="x",D121,0)</f>
        <v>53.975000000000001</v>
      </c>
      <c r="H121" s="173"/>
      <c r="I121" s="174"/>
      <c r="J121" s="156">
        <f>J120</f>
        <v>79.159137258201426</v>
      </c>
      <c r="K121" s="156">
        <f>K120</f>
        <v>49.644291338582676</v>
      </c>
      <c r="L121" s="157"/>
      <c r="M121" s="156">
        <f>M120</f>
        <v>0.95250000000000057</v>
      </c>
      <c r="N121" s="156">
        <f>N120</f>
        <v>151.39095191045743</v>
      </c>
      <c r="O121" s="156"/>
      <c r="P121" s="156"/>
      <c r="Q121" s="167">
        <f t="shared" si="144"/>
        <v>550</v>
      </c>
      <c r="R121" s="182">
        <f t="shared" si="145"/>
        <v>275</v>
      </c>
      <c r="S121" s="182">
        <f t="shared" si="146"/>
        <v>-275</v>
      </c>
      <c r="T121" s="183">
        <f t="shared" si="99"/>
        <v>-16.418260681614242</v>
      </c>
      <c r="U121" s="182">
        <f t="shared" si="147"/>
        <v>266.79086965919288</v>
      </c>
      <c r="V121" s="182">
        <f t="shared" si="148"/>
        <v>-266.79086965919288</v>
      </c>
    </row>
    <row r="122" spans="1:33" x14ac:dyDescent="0.2">
      <c r="A122" s="109"/>
      <c r="B122" s="11"/>
      <c r="C122" s="168"/>
      <c r="D122" s="169"/>
      <c r="E122" s="169"/>
      <c r="F122" s="161"/>
      <c r="G122" s="162"/>
      <c r="H122" s="169"/>
      <c r="I122" s="169"/>
      <c r="J122" s="162">
        <f>J121</f>
        <v>79.159137258201426</v>
      </c>
      <c r="K122" s="162">
        <f>K121</f>
        <v>49.644291338582676</v>
      </c>
      <c r="L122" s="169"/>
      <c r="M122" s="162">
        <f>((H120-H117)^2+(I120-I117)^2)^0.5</f>
        <v>0.95250000000000057</v>
      </c>
      <c r="N122" s="162">
        <f>N119+M122</f>
        <v>152.34345191045742</v>
      </c>
      <c r="O122" s="162">
        <f t="shared" ref="O122" si="151">$O$14</f>
        <v>31.750000000000004</v>
      </c>
      <c r="P122" s="162">
        <v>2</v>
      </c>
      <c r="Q122" s="164">
        <f t="shared" ref="Q122" si="152">((C120-C121)^2+(D120-D121)^2)^0.5*O122*P122</f>
        <v>550</v>
      </c>
      <c r="R122" s="182">
        <f t="shared" si="145"/>
        <v>275</v>
      </c>
      <c r="S122" s="182">
        <f t="shared" si="146"/>
        <v>-275</v>
      </c>
      <c r="T122" s="183">
        <f t="shared" si="99"/>
        <v>0</v>
      </c>
      <c r="U122" s="182">
        <f t="shared" si="147"/>
        <v>275</v>
      </c>
      <c r="V122" s="182">
        <f t="shared" si="148"/>
        <v>-275</v>
      </c>
    </row>
    <row r="123" spans="1:33" x14ac:dyDescent="0.2">
      <c r="A123" s="109"/>
      <c r="B123" s="11"/>
      <c r="C123" s="155">
        <f>C126</f>
        <v>79.159137258201426</v>
      </c>
      <c r="D123" s="156">
        <f>D126</f>
        <v>45.313582677165357</v>
      </c>
      <c r="E123" s="157"/>
      <c r="F123" s="156">
        <f>IF('Cyclops TH'!$I$6="x",C123,0)</f>
        <v>79.159137258201426</v>
      </c>
      <c r="G123" s="156">
        <f>IF('Cyclops TH'!$I$6="x",D123,0)</f>
        <v>45.313582677165357</v>
      </c>
      <c r="H123" s="156">
        <f>SUM(C123:C124)/2</f>
        <v>76.972176051413783</v>
      </c>
      <c r="I123" s="156">
        <f>SUM(D123:D124)/2</f>
        <v>49.644291338582676</v>
      </c>
      <c r="J123" s="156">
        <f>IF('Cyclops TH'!$I$5="x",H123,"")</f>
        <v>76.972176051413783</v>
      </c>
      <c r="K123" s="156">
        <f>IF('Cyclops TH'!$I$5="x",I123,"")</f>
        <v>49.644291338582676</v>
      </c>
      <c r="L123" s="157"/>
      <c r="M123" s="156">
        <f>M122</f>
        <v>0.95250000000000057</v>
      </c>
      <c r="N123" s="156">
        <f>N122</f>
        <v>152.34345191045742</v>
      </c>
      <c r="O123" s="156"/>
      <c r="P123" s="156"/>
      <c r="Q123" s="167">
        <f t="shared" ref="Q123:Q124" si="153">Q122</f>
        <v>550</v>
      </c>
      <c r="R123" s="182">
        <f t="shared" si="145"/>
        <v>275</v>
      </c>
      <c r="S123" s="182">
        <f t="shared" si="146"/>
        <v>-275</v>
      </c>
      <c r="T123" s="183">
        <f t="shared" ref="T123:T131" si="154">(U123-R123)*2</f>
        <v>0</v>
      </c>
      <c r="U123" s="182">
        <f t="shared" ref="U123:U131" si="155">(($D$11-$D$9)*(N123-$E$9)/($E$11-$E$9)+$D$9)/2</f>
        <v>275</v>
      </c>
      <c r="V123" s="182">
        <f t="shared" si="148"/>
        <v>-275</v>
      </c>
    </row>
    <row r="124" spans="1:33" x14ac:dyDescent="0.2">
      <c r="A124" s="1">
        <f t="shared" ref="A124" si="156">A127+1</f>
        <v>15</v>
      </c>
      <c r="B124" s="128">
        <f t="shared" ref="B124" si="157">B121+1</f>
        <v>33</v>
      </c>
      <c r="C124" s="155">
        <f>(C121+AF115)/2</f>
        <v>74.785214844626125</v>
      </c>
      <c r="D124" s="156">
        <f>D121</f>
        <v>53.975000000000001</v>
      </c>
      <c r="E124" s="157"/>
      <c r="F124" s="156">
        <f>IF('Cyclops TH'!$I$6="x",C124,0)</f>
        <v>74.785214844626125</v>
      </c>
      <c r="G124" s="156">
        <f>IF('Cyclops TH'!$I$6="x",D124,0)</f>
        <v>53.975000000000001</v>
      </c>
      <c r="H124" s="173"/>
      <c r="I124" s="174"/>
      <c r="J124" s="156">
        <f>J123</f>
        <v>76.972176051413783</v>
      </c>
      <c r="K124" s="156">
        <f>K123</f>
        <v>49.644291338582676</v>
      </c>
      <c r="L124" s="157"/>
      <c r="M124" s="156">
        <f>M123</f>
        <v>0.95250000000000057</v>
      </c>
      <c r="N124" s="156">
        <f>N123</f>
        <v>152.34345191045742</v>
      </c>
      <c r="O124" s="156"/>
      <c r="P124" s="156"/>
      <c r="Q124" s="167">
        <f t="shared" si="153"/>
        <v>550</v>
      </c>
      <c r="R124" s="182">
        <f t="shared" si="145"/>
        <v>275</v>
      </c>
      <c r="S124" s="182">
        <f t="shared" si="146"/>
        <v>-275</v>
      </c>
      <c r="T124" s="183">
        <f t="shared" si="154"/>
        <v>0</v>
      </c>
      <c r="U124" s="182">
        <f t="shared" si="155"/>
        <v>275</v>
      </c>
      <c r="V124" s="182">
        <f t="shared" si="148"/>
        <v>-275</v>
      </c>
    </row>
    <row r="125" spans="1:33" x14ac:dyDescent="0.2">
      <c r="A125" s="109"/>
      <c r="B125" s="11"/>
      <c r="C125" s="172"/>
      <c r="D125" s="157"/>
      <c r="E125" s="157"/>
      <c r="F125" s="174"/>
      <c r="G125" s="156"/>
      <c r="H125" s="157"/>
      <c r="I125" s="157"/>
      <c r="J125" s="156">
        <f>J124</f>
        <v>76.972176051413783</v>
      </c>
      <c r="K125" s="156">
        <f>K124</f>
        <v>49.644291338582676</v>
      </c>
      <c r="L125" s="157"/>
      <c r="M125" s="156">
        <f>((H123-H120)^2+(I123-I120)^2)^0.5</f>
        <v>2.1869612067876432</v>
      </c>
      <c r="N125" s="156">
        <f>N122+M125</f>
        <v>154.53041311724508</v>
      </c>
      <c r="O125" s="156">
        <f t="shared" ref="O125" si="158">$O$14</f>
        <v>31.750000000000004</v>
      </c>
      <c r="P125" s="156">
        <v>2</v>
      </c>
      <c r="Q125" s="167">
        <f t="shared" ref="Q125" si="159">((C123-C124)^2+(D123-D124)^2)^0.5*O125*P125</f>
        <v>616.15076907538207</v>
      </c>
      <c r="R125" s="182">
        <f t="shared" si="145"/>
        <v>308.07538453769104</v>
      </c>
      <c r="S125" s="182">
        <f t="shared" si="146"/>
        <v>-308.07538453769104</v>
      </c>
      <c r="T125" s="183">
        <f t="shared" si="154"/>
        <v>-28.454077008591412</v>
      </c>
      <c r="U125" s="182">
        <f t="shared" si="155"/>
        <v>293.84834603339533</v>
      </c>
      <c r="V125" s="182">
        <f t="shared" si="148"/>
        <v>-293.84834603339533</v>
      </c>
    </row>
    <row r="126" spans="1:33" x14ac:dyDescent="0.2">
      <c r="A126" s="109"/>
      <c r="B126" s="11"/>
      <c r="C126" s="151">
        <f>C129</f>
        <v>79.159137258201426</v>
      </c>
      <c r="D126" s="152">
        <f>D129</f>
        <v>45.313582677165357</v>
      </c>
      <c r="E126" s="153"/>
      <c r="F126" s="152">
        <f>IF('Cyclops TH'!$I$6="x",C126,0)</f>
        <v>79.159137258201426</v>
      </c>
      <c r="G126" s="152">
        <f>IF('Cyclops TH'!$I$6="x",D126,0)</f>
        <v>45.313582677165357</v>
      </c>
      <c r="H126" s="152">
        <f>SUM(C126:C127)/2</f>
        <v>74.319544993227268</v>
      </c>
      <c r="I126" s="152">
        <f>SUM(D126:D127)/2</f>
        <v>47.810473305320421</v>
      </c>
      <c r="J126" s="152">
        <f>IF('Cyclops TH'!$I$5="x",H126,"")</f>
        <v>74.319544993227268</v>
      </c>
      <c r="K126" s="152">
        <f>IF('Cyclops TH'!$I$5="x",I126,"")</f>
        <v>47.810473305320421</v>
      </c>
      <c r="L126" s="153"/>
      <c r="M126" s="152">
        <f>M125</f>
        <v>2.1869612067876432</v>
      </c>
      <c r="N126" s="152">
        <f>N125</f>
        <v>154.53041311724508</v>
      </c>
      <c r="O126" s="152"/>
      <c r="P126" s="152"/>
      <c r="Q126" s="166">
        <f t="shared" ref="Q126:Q127" si="160">Q125</f>
        <v>616.15076907538207</v>
      </c>
      <c r="R126" s="182">
        <f t="shared" si="145"/>
        <v>308.07538453769104</v>
      </c>
      <c r="S126" s="182">
        <f t="shared" si="146"/>
        <v>-308.07538453769104</v>
      </c>
      <c r="T126" s="183">
        <f t="shared" si="154"/>
        <v>-28.454077008591412</v>
      </c>
      <c r="U126" s="182">
        <f t="shared" si="155"/>
        <v>293.84834603339533</v>
      </c>
      <c r="V126" s="182">
        <f t="shared" si="148"/>
        <v>-293.84834603339533</v>
      </c>
    </row>
    <row r="127" spans="1:33" x14ac:dyDescent="0.2">
      <c r="A127" s="1">
        <f t="shared" ref="A127" si="161">A130+1</f>
        <v>14</v>
      </c>
      <c r="B127" s="128">
        <f t="shared" ref="B127" si="162">B124+1</f>
        <v>34</v>
      </c>
      <c r="C127" s="155">
        <f>(C130+AF115)/2</f>
        <v>69.47995272825311</v>
      </c>
      <c r="D127" s="156">
        <f>(AG115+D130)/2</f>
        <v>50.307363933475486</v>
      </c>
      <c r="E127" s="157"/>
      <c r="F127" s="156">
        <f>IF('Cyclops TH'!$I$6="x",C127,0)</f>
        <v>69.47995272825311</v>
      </c>
      <c r="G127" s="156">
        <f>IF('Cyclops TH'!$I$6="x",D127,0)</f>
        <v>50.307363933475486</v>
      </c>
      <c r="H127" s="173"/>
      <c r="I127" s="174"/>
      <c r="J127" s="156">
        <f>J126</f>
        <v>74.319544993227268</v>
      </c>
      <c r="K127" s="156">
        <f>K126</f>
        <v>47.810473305320421</v>
      </c>
      <c r="L127" s="157"/>
      <c r="M127" s="156">
        <f>M126</f>
        <v>2.1869612067876432</v>
      </c>
      <c r="N127" s="156">
        <f>N126</f>
        <v>154.53041311724508</v>
      </c>
      <c r="O127" s="156"/>
      <c r="P127" s="156"/>
      <c r="Q127" s="167">
        <f t="shared" si="160"/>
        <v>616.15076907538207</v>
      </c>
      <c r="R127" s="182">
        <f t="shared" si="145"/>
        <v>308.07538453769104</v>
      </c>
      <c r="S127" s="182">
        <f t="shared" si="146"/>
        <v>-308.07538453769104</v>
      </c>
      <c r="T127" s="183">
        <f t="shared" si="154"/>
        <v>-28.454077008591412</v>
      </c>
      <c r="U127" s="182">
        <f t="shared" si="155"/>
        <v>293.84834603339533</v>
      </c>
      <c r="V127" s="182">
        <f t="shared" si="148"/>
        <v>-293.84834603339533</v>
      </c>
    </row>
    <row r="128" spans="1:33" x14ac:dyDescent="0.2">
      <c r="A128" s="109"/>
      <c r="B128" s="11"/>
      <c r="C128" s="168"/>
      <c r="D128" s="169"/>
      <c r="E128" s="169"/>
      <c r="F128" s="161"/>
      <c r="G128" s="162"/>
      <c r="H128" s="169"/>
      <c r="I128" s="169"/>
      <c r="J128" s="162">
        <f>J127</f>
        <v>74.319544993227268</v>
      </c>
      <c r="K128" s="162">
        <f>K127</f>
        <v>47.810473305320421</v>
      </c>
      <c r="L128" s="169"/>
      <c r="M128" s="162">
        <f>((H126-H123)^2+(I126-I123)^2)^0.5</f>
        <v>3.2248007860910648</v>
      </c>
      <c r="N128" s="162">
        <f>N125+M128</f>
        <v>157.75521390333614</v>
      </c>
      <c r="O128" s="162">
        <f t="shared" ref="O128" si="163">$O$14</f>
        <v>31.750000000000004</v>
      </c>
      <c r="P128" s="162">
        <v>2</v>
      </c>
      <c r="Q128" s="164">
        <f t="shared" ref="Q128" si="164">((C126-C127)^2+(D126-D127)^2)^0.5*O128*P128</f>
        <v>691.60935258249822</v>
      </c>
      <c r="R128" s="182">
        <f t="shared" si="145"/>
        <v>345.80467629124911</v>
      </c>
      <c r="S128" s="182">
        <f t="shared" si="146"/>
        <v>-345.80467629124911</v>
      </c>
      <c r="T128" s="183">
        <f t="shared" si="154"/>
        <v>-48.326707809861318</v>
      </c>
      <c r="U128" s="182">
        <f t="shared" si="155"/>
        <v>321.64132238631845</v>
      </c>
      <c r="V128" s="182">
        <f t="shared" si="148"/>
        <v>-321.64132238631845</v>
      </c>
    </row>
    <row r="129" spans="1:33" x14ac:dyDescent="0.2">
      <c r="A129" s="109"/>
      <c r="B129" s="11"/>
      <c r="C129" s="151">
        <f>C120</f>
        <v>79.159137258201426</v>
      </c>
      <c r="D129" s="152">
        <f>D120</f>
        <v>45.313582677165357</v>
      </c>
      <c r="E129" s="153"/>
      <c r="F129" s="152">
        <f>IF('Cyclops TH'!$I$6="x",C129,0)</f>
        <v>79.159137258201426</v>
      </c>
      <c r="G129" s="152">
        <f>IF('Cyclops TH'!$I$6="x",D129,0)</f>
        <v>45.313582677165357</v>
      </c>
      <c r="H129" s="152">
        <f>SUM(C129:C130)/2</f>
        <v>73.853875141828411</v>
      </c>
      <c r="I129" s="152">
        <f>SUM(D129:D130)/2</f>
        <v>45.976655272058153</v>
      </c>
      <c r="J129" s="152">
        <f>IF('Cyclops TH'!$I$5="x",H129,"")</f>
        <v>73.853875141828411</v>
      </c>
      <c r="K129" s="152">
        <f>IF('Cyclops TH'!$I$5="x",I129,"")</f>
        <v>45.976655272058153</v>
      </c>
      <c r="L129" s="153"/>
      <c r="M129" s="152">
        <f>M128</f>
        <v>3.2248007860910648</v>
      </c>
      <c r="N129" s="152">
        <f>N128</f>
        <v>157.75521390333614</v>
      </c>
      <c r="O129" s="152"/>
      <c r="P129" s="152"/>
      <c r="Q129" s="166">
        <f t="shared" ref="Q129:Q130" si="165">Q128</f>
        <v>691.60935258249822</v>
      </c>
      <c r="R129" s="182">
        <f t="shared" si="145"/>
        <v>345.80467629124911</v>
      </c>
      <c r="S129" s="182">
        <f t="shared" si="146"/>
        <v>-345.80467629124911</v>
      </c>
      <c r="T129" s="183">
        <f t="shared" si="154"/>
        <v>-48.326707809861318</v>
      </c>
      <c r="U129" s="182">
        <f t="shared" si="155"/>
        <v>321.64132238631845</v>
      </c>
      <c r="V129" s="182">
        <f t="shared" si="148"/>
        <v>-321.64132238631845</v>
      </c>
      <c r="Y129" s="1" t="str">
        <f>Panels!A93</f>
        <v>Panel J</v>
      </c>
      <c r="Z129" s="177">
        <f>Panels!C95</f>
        <v>67.415808773208724</v>
      </c>
      <c r="AA129" s="177">
        <f>Panels!D95</f>
        <v>42.178720009805311</v>
      </c>
      <c r="AB129" s="177">
        <f>Panels!C96</f>
        <v>70.895037846803291</v>
      </c>
      <c r="AC129" s="177">
        <f>Panels!D96</f>
        <v>55.88</v>
      </c>
      <c r="AD129" s="219">
        <f>IF(AB129-Z129&lt;&gt;0,(AC129-AA129)/(AB129-Z129),"vertical")</f>
        <v>3.938021814711731</v>
      </c>
      <c r="AE129" s="219">
        <f>IF(AD129&lt;&gt;"vertical",(AC129*Z129-AA129*AB129)/(Z129-AB129),AA129)</f>
        <v>-223.30620559552511</v>
      </c>
    </row>
    <row r="130" spans="1:33" x14ac:dyDescent="0.2">
      <c r="A130" s="1">
        <f t="shared" ref="A130" si="166">A133+1</f>
        <v>13</v>
      </c>
      <c r="B130" s="128">
        <f t="shared" ref="B130" si="167">B127+1</f>
        <v>35</v>
      </c>
      <c r="C130" s="155">
        <f>AF130</f>
        <v>68.548613025455396</v>
      </c>
      <c r="D130" s="156">
        <f>AG130</f>
        <v>46.639727866950949</v>
      </c>
      <c r="E130" s="157"/>
      <c r="F130" s="156">
        <f>IF('Cyclops TH'!$I$6="x",C130,0)</f>
        <v>68.548613025455396</v>
      </c>
      <c r="G130" s="156">
        <f>IF('Cyclops TH'!$I$6="x",D130,0)</f>
        <v>46.639727866950949</v>
      </c>
      <c r="H130" s="173"/>
      <c r="I130" s="174"/>
      <c r="J130" s="156">
        <f>J129</f>
        <v>73.853875141828411</v>
      </c>
      <c r="K130" s="156">
        <f>K129</f>
        <v>45.976655272058153</v>
      </c>
      <c r="L130" s="157"/>
      <c r="M130" s="156">
        <f>M129</f>
        <v>3.2248007860910648</v>
      </c>
      <c r="N130" s="156">
        <f>N129</f>
        <v>157.75521390333614</v>
      </c>
      <c r="O130" s="156"/>
      <c r="P130" s="156"/>
      <c r="Q130" s="167">
        <f t="shared" si="165"/>
        <v>691.60935258249822</v>
      </c>
      <c r="R130" s="182">
        <f t="shared" si="145"/>
        <v>345.80467629124911</v>
      </c>
      <c r="S130" s="182">
        <f t="shared" si="146"/>
        <v>-345.80467629124911</v>
      </c>
      <c r="T130" s="183">
        <f t="shared" si="154"/>
        <v>-48.326707809861318</v>
      </c>
      <c r="U130" s="182">
        <f t="shared" si="155"/>
        <v>321.64132238631845</v>
      </c>
      <c r="V130" s="182">
        <f t="shared" si="148"/>
        <v>-321.64132238631845</v>
      </c>
      <c r="Y130" s="1" t="str">
        <f>Panels!A87</f>
        <v>Panel I</v>
      </c>
      <c r="Z130" s="177">
        <f>Panels!C88</f>
        <v>79.159137258201426</v>
      </c>
      <c r="AA130" s="177">
        <f>Panels!D88</f>
        <v>45.313582677165357</v>
      </c>
      <c r="AB130" s="177">
        <f>Z130-10*$E$20</f>
        <v>69.236338886311842</v>
      </c>
      <c r="AC130" s="177">
        <f>AA130+10*$E$21</f>
        <v>46.553773174962132</v>
      </c>
      <c r="AD130" s="219">
        <f>(AC130-AA130)/(AB130-Z130)</f>
        <v>-0.12498394619305429</v>
      </c>
      <c r="AE130" s="219">
        <f>(AC130*Z130-AA130*AB130)/(Z130-AB130)</f>
        <v>55.207204028932964</v>
      </c>
      <c r="AF130" s="177">
        <f>IF(AD129&lt;&gt;"vertical",(AE129-AE130)/(AD130-AD129),Z129)</f>
        <v>68.548613025455396</v>
      </c>
      <c r="AG130" s="177">
        <f>AF130*AD130+AE130</f>
        <v>46.639727866950949</v>
      </c>
    </row>
    <row r="131" spans="1:33" x14ac:dyDescent="0.2">
      <c r="A131" s="109"/>
      <c r="B131" s="11"/>
      <c r="C131" s="168"/>
      <c r="D131" s="169"/>
      <c r="E131" s="169"/>
      <c r="F131" s="161"/>
      <c r="G131" s="162"/>
      <c r="H131" s="169"/>
      <c r="I131" s="169"/>
      <c r="J131" s="162">
        <f>J130</f>
        <v>73.853875141828411</v>
      </c>
      <c r="K131" s="162">
        <f>K130</f>
        <v>45.976655272058153</v>
      </c>
      <c r="L131" s="169"/>
      <c r="M131" s="162">
        <f>((H129-H126)^2+(I129-I126)^2)^0.5</f>
        <v>1.892019288913231</v>
      </c>
      <c r="N131" s="162">
        <f>N128+M131</f>
        <v>159.64723319224936</v>
      </c>
      <c r="O131" s="162">
        <f t="shared" ref="O131" si="168">$O$14</f>
        <v>31.750000000000004</v>
      </c>
      <c r="P131" s="162">
        <v>2</v>
      </c>
      <c r="Q131" s="164">
        <f t="shared" ref="Q131" si="169">((C129-C130)^2+(D129-D130)^2)^0.5*O131*P131</f>
        <v>679.01035930358023</v>
      </c>
      <c r="R131" s="182">
        <f t="shared" si="145"/>
        <v>339.50517965179012</v>
      </c>
      <c r="S131" s="182">
        <f t="shared" si="146"/>
        <v>-339.50517965179012</v>
      </c>
      <c r="T131" s="183">
        <f t="shared" si="154"/>
        <v>-3.1149419324968903</v>
      </c>
      <c r="U131" s="182">
        <f t="shared" si="155"/>
        <v>337.94770868554167</v>
      </c>
      <c r="V131" s="182">
        <f t="shared" si="148"/>
        <v>-337.94770868554167</v>
      </c>
    </row>
    <row r="132" spans="1:33" x14ac:dyDescent="0.2">
      <c r="A132" s="109"/>
      <c r="B132" s="11"/>
      <c r="C132" s="155">
        <f>(C130+C135)/2</f>
        <v>67.98221089933206</v>
      </c>
      <c r="D132" s="156">
        <f>(D130+D135)/2</f>
        <v>44.409223938378133</v>
      </c>
      <c r="E132" s="157"/>
      <c r="F132" s="156">
        <f>IF('Cyclops TH'!$I$6="x",C132,0)</f>
        <v>67.98221089933206</v>
      </c>
      <c r="G132" s="156">
        <f>IF('Cyclops TH'!$I$6="x",D132,0)</f>
        <v>44.409223938378133</v>
      </c>
      <c r="H132" s="156">
        <f>SUM(C132:C133)/2</f>
        <v>73.570674078766743</v>
      </c>
      <c r="I132" s="156">
        <f>SUM(D132:D133)/2</f>
        <v>43.710755757057797</v>
      </c>
      <c r="J132" s="156">
        <f>IF('Cyclops TH'!$I$5="x",H132,"")</f>
        <v>73.570674078766743</v>
      </c>
      <c r="K132" s="156">
        <f>IF('Cyclops TH'!$I$5="x",I132,"")</f>
        <v>43.710755757057797</v>
      </c>
      <c r="L132" s="157"/>
      <c r="M132" s="156">
        <f>M131</f>
        <v>1.892019288913231</v>
      </c>
      <c r="N132" s="156">
        <f>N131</f>
        <v>159.64723319224936</v>
      </c>
      <c r="O132" s="156"/>
      <c r="P132" s="156"/>
      <c r="Q132" s="167">
        <f t="shared" ref="Q132:Q133" si="170">Q131</f>
        <v>679.01035930358023</v>
      </c>
      <c r="R132" s="182">
        <f t="shared" si="145"/>
        <v>339.50517965179012</v>
      </c>
      <c r="S132" s="182">
        <f t="shared" si="146"/>
        <v>-339.50517965179012</v>
      </c>
      <c r="T132" s="183">
        <f t="shared" ref="T132:T137" si="171">(U132-R132)*2</f>
        <v>-3.1149419324968903</v>
      </c>
      <c r="U132" s="182">
        <f t="shared" ref="U132:U137" si="172">(($D$11-$D$9)*(N132-$E$9)/($E$11-$E$9)+$D$9)/2</f>
        <v>337.94770868554167</v>
      </c>
      <c r="V132" s="182">
        <f t="shared" si="148"/>
        <v>-337.94770868554167</v>
      </c>
      <c r="Y132" s="1" t="str">
        <f>Panels!A87</f>
        <v>Panel I</v>
      </c>
      <c r="Z132" s="177">
        <f>Panels!C87</f>
        <v>79.159137258201426</v>
      </c>
      <c r="AA132" s="177">
        <f>Panels!D87</f>
        <v>27.232303214400272</v>
      </c>
      <c r="AB132" s="177">
        <f>Panels!C88</f>
        <v>79.159137258201426</v>
      </c>
      <c r="AC132" s="177">
        <f>Panels!D88</f>
        <v>45.313582677165357</v>
      </c>
      <c r="AD132" s="219" t="str">
        <f>IF(AB132-Z132&lt;&gt;0,(AC132-AA132)/(AB132-Z132),"vertical")</f>
        <v>vertical</v>
      </c>
      <c r="AE132" s="219">
        <f>IF(AD132&lt;&gt;"vertical",(AC132*Z132-AA132*AB132)/(Z132-AB132),AA132)</f>
        <v>27.232303214400272</v>
      </c>
    </row>
    <row r="133" spans="1:33" ht="12" thickBot="1" x14ac:dyDescent="0.25">
      <c r="A133" s="1">
        <f t="shared" ref="A133" si="173">A136+1</f>
        <v>12</v>
      </c>
      <c r="B133" s="128">
        <f t="shared" ref="B133" si="174">B130+1</f>
        <v>36</v>
      </c>
      <c r="C133" s="155">
        <f>AF133</f>
        <v>79.159137258201426</v>
      </c>
      <c r="D133" s="156">
        <f>AG133</f>
        <v>43.01228757573746</v>
      </c>
      <c r="E133" s="157"/>
      <c r="F133" s="156">
        <f>IF('Cyclops TH'!$I$6="x",C133,0)</f>
        <v>79.159137258201426</v>
      </c>
      <c r="G133" s="156">
        <f>IF('Cyclops TH'!$I$6="x",D133,0)</f>
        <v>43.01228757573746</v>
      </c>
      <c r="H133" s="173"/>
      <c r="I133" s="174"/>
      <c r="J133" s="156">
        <f>J132</f>
        <v>73.570674078766743</v>
      </c>
      <c r="K133" s="156">
        <f>K132</f>
        <v>43.710755757057797</v>
      </c>
      <c r="L133" s="157"/>
      <c r="M133" s="156">
        <f>M132</f>
        <v>1.892019288913231</v>
      </c>
      <c r="N133" s="156">
        <f>N132</f>
        <v>159.64723319224936</v>
      </c>
      <c r="O133" s="156"/>
      <c r="P133" s="156"/>
      <c r="Q133" s="167">
        <f t="shared" si="170"/>
        <v>679.01035930358023</v>
      </c>
      <c r="R133" s="182">
        <f t="shared" si="145"/>
        <v>339.50517965179012</v>
      </c>
      <c r="S133" s="182">
        <f t="shared" si="146"/>
        <v>-339.50517965179012</v>
      </c>
      <c r="T133" s="183">
        <f t="shared" si="171"/>
        <v>-3.1149419324968903</v>
      </c>
      <c r="U133" s="182">
        <f t="shared" si="172"/>
        <v>337.94770868554167</v>
      </c>
      <c r="V133" s="182">
        <f t="shared" si="148"/>
        <v>-337.94770868554167</v>
      </c>
      <c r="Y133" s="1" t="str">
        <f>Panels!A93</f>
        <v>Panel J</v>
      </c>
      <c r="Z133" s="177">
        <f>C132</f>
        <v>67.98221089933206</v>
      </c>
      <c r="AA133" s="177">
        <f>D132</f>
        <v>44.409223938378133</v>
      </c>
      <c r="AB133" s="177">
        <f>Z133+10*$E$20</f>
        <v>77.905009271221644</v>
      </c>
      <c r="AC133" s="177">
        <f>AA133-10*$E$21</f>
        <v>43.169033440581359</v>
      </c>
      <c r="AD133" s="219">
        <f>(AC133-AA133)/(AB133-Z133)</f>
        <v>-0.12498394619305429</v>
      </c>
      <c r="AE133" s="219">
        <f>(AC133*Z133-AA133*AB133)/(Z133-AB133)</f>
        <v>52.905908927505102</v>
      </c>
      <c r="AF133" s="177">
        <f>IF(AD132&lt;&gt;"vertical",(AE132-AE133)/(AD133-AD132),Z132)</f>
        <v>79.159137258201426</v>
      </c>
      <c r="AG133" s="177">
        <f>AF133*AD133+AE133</f>
        <v>43.01228757573746</v>
      </c>
    </row>
    <row r="134" spans="1:33" ht="12" thickBot="1" x14ac:dyDescent="0.25">
      <c r="A134" s="109"/>
      <c r="B134" s="11"/>
      <c r="C134" s="168"/>
      <c r="D134" s="169"/>
      <c r="E134" s="169"/>
      <c r="F134" s="161"/>
      <c r="G134" s="162"/>
      <c r="H134" s="169"/>
      <c r="I134" s="169"/>
      <c r="J134" s="162">
        <f>J133</f>
        <v>73.570674078766743</v>
      </c>
      <c r="K134" s="162">
        <f>K133</f>
        <v>43.710755757057797</v>
      </c>
      <c r="L134" s="169"/>
      <c r="M134" s="162">
        <f>((H132-H129)^2+(I132-I129)^2)^0.5</f>
        <v>2.2835287285685957</v>
      </c>
      <c r="N134" s="162">
        <f>N131+M134</f>
        <v>161.93076192081796</v>
      </c>
      <c r="O134" s="162">
        <f t="shared" ref="O134" si="175">$O$14</f>
        <v>31.750000000000004</v>
      </c>
      <c r="P134" s="162">
        <v>2</v>
      </c>
      <c r="Q134" s="164">
        <f t="shared" ref="Q134" si="176">((C132-C133)^2+(D132-D133)^2)^0.5*O134*P134</f>
        <v>715.25672213477731</v>
      </c>
      <c r="R134" s="182">
        <f t="shared" si="145"/>
        <v>357.62836106738865</v>
      </c>
      <c r="S134" s="182">
        <f t="shared" si="146"/>
        <v>-357.62836106738865</v>
      </c>
      <c r="T134" s="187">
        <f t="shared" si="171"/>
        <v>-7.6480654570332263E-5</v>
      </c>
      <c r="U134" s="182">
        <f t="shared" si="172"/>
        <v>357.62832282706137</v>
      </c>
      <c r="V134" s="182">
        <f t="shared" si="148"/>
        <v>-357.62832282706137</v>
      </c>
    </row>
    <row r="135" spans="1:33" x14ac:dyDescent="0.2">
      <c r="A135" s="109"/>
      <c r="B135" s="11"/>
      <c r="C135" s="151">
        <f>C144</f>
        <v>67.415808773208724</v>
      </c>
      <c r="D135" s="152">
        <f>D144</f>
        <v>42.178720009805311</v>
      </c>
      <c r="E135" s="153"/>
      <c r="F135" s="152">
        <f>IF('Cyclops TH'!$I$6="x",C135,0)</f>
        <v>67.415808773208724</v>
      </c>
      <c r="G135" s="152">
        <f>IF('Cyclops TH'!$I$6="x",D135,0)</f>
        <v>42.178720009805311</v>
      </c>
      <c r="H135" s="152">
        <f>SUM(C135:C136)/2</f>
        <v>73.287473015705075</v>
      </c>
      <c r="I135" s="152">
        <f>SUM(D135:D136)/2</f>
        <v>41.444856242057483</v>
      </c>
      <c r="J135" s="152">
        <f>IF('Cyclops TH'!$I$5="x",H135,"")</f>
        <v>73.287473015705075</v>
      </c>
      <c r="K135" s="152">
        <f>IF('Cyclops TH'!$I$5="x",I135,"")</f>
        <v>41.444856242057483</v>
      </c>
      <c r="L135" s="153"/>
      <c r="M135" s="152">
        <f>M134</f>
        <v>2.2835287285685957</v>
      </c>
      <c r="N135" s="152">
        <f>N134</f>
        <v>161.93076192081796</v>
      </c>
      <c r="O135" s="152"/>
      <c r="P135" s="152"/>
      <c r="Q135" s="166">
        <f t="shared" ref="Q135:Q136" si="177">Q134</f>
        <v>715.25672213477731</v>
      </c>
      <c r="R135" s="182">
        <f t="shared" si="145"/>
        <v>357.62836106738865</v>
      </c>
      <c r="S135" s="182">
        <f t="shared" si="146"/>
        <v>-357.62836106738865</v>
      </c>
      <c r="T135" s="183">
        <f t="shared" si="171"/>
        <v>-7.6480654570332263E-5</v>
      </c>
      <c r="U135" s="182">
        <f t="shared" si="172"/>
        <v>357.62832282706137</v>
      </c>
      <c r="V135" s="182">
        <f t="shared" si="148"/>
        <v>-357.62832282706137</v>
      </c>
      <c r="Y135" s="1" t="str">
        <f>Panels!A87</f>
        <v>Panel I</v>
      </c>
      <c r="Z135" s="177">
        <f>Panels!C87</f>
        <v>79.159137258201426</v>
      </c>
      <c r="AA135" s="177">
        <f>Panels!D87</f>
        <v>27.232303214400272</v>
      </c>
      <c r="AB135" s="177">
        <f>Panels!C88</f>
        <v>79.159137258201426</v>
      </c>
      <c r="AC135" s="177">
        <f>Panels!D88</f>
        <v>45.313582677165357</v>
      </c>
      <c r="AD135" s="219" t="str">
        <f>IF(AB135-Z135&lt;&gt;0,(AC135-AA135)/(AB135-Z135),"vertical")</f>
        <v>vertical</v>
      </c>
      <c r="AE135" s="219">
        <f>IF(AD135&lt;&gt;"vertical",(AC135*Z135-AA135*AB135)/(Z135-AB135),AA135)</f>
        <v>27.232303214400272</v>
      </c>
    </row>
    <row r="136" spans="1:33" x14ac:dyDescent="0.2">
      <c r="A136" s="1">
        <f t="shared" ref="A136" si="178">A139+1</f>
        <v>11</v>
      </c>
      <c r="B136" s="128">
        <f t="shared" ref="B136" si="179">B133+1</f>
        <v>37</v>
      </c>
      <c r="C136" s="155">
        <f>AF136</f>
        <v>79.159137258201426</v>
      </c>
      <c r="D136" s="156">
        <f>AG136</f>
        <v>40.710992474309649</v>
      </c>
      <c r="E136" s="157"/>
      <c r="F136" s="156">
        <f>IF('Cyclops TH'!$I$6="x",C136,0)</f>
        <v>79.159137258201426</v>
      </c>
      <c r="G136" s="156">
        <f>IF('Cyclops TH'!$I$6="x",D136,0)</f>
        <v>40.710992474309649</v>
      </c>
      <c r="H136" s="173"/>
      <c r="I136" s="174"/>
      <c r="J136" s="156">
        <f>J135</f>
        <v>73.287473015705075</v>
      </c>
      <c r="K136" s="156">
        <f>K135</f>
        <v>41.444856242057483</v>
      </c>
      <c r="L136" s="157"/>
      <c r="M136" s="156">
        <f>M135</f>
        <v>2.2835287285685957</v>
      </c>
      <c r="N136" s="156">
        <f>N135</f>
        <v>161.93076192081796</v>
      </c>
      <c r="O136" s="156"/>
      <c r="P136" s="156"/>
      <c r="Q136" s="167">
        <f t="shared" si="177"/>
        <v>715.25672213477731</v>
      </c>
      <c r="R136" s="182">
        <f t="shared" si="145"/>
        <v>357.62836106738865</v>
      </c>
      <c r="S136" s="182">
        <f t="shared" si="146"/>
        <v>-357.62836106738865</v>
      </c>
      <c r="T136" s="183">
        <f t="shared" si="171"/>
        <v>-7.6480654570332263E-5</v>
      </c>
      <c r="U136" s="182">
        <f t="shared" si="172"/>
        <v>357.62832282706137</v>
      </c>
      <c r="V136" s="182">
        <f t="shared" si="148"/>
        <v>-357.62832282706137</v>
      </c>
      <c r="Y136" s="1" t="str">
        <f>Panels!A93</f>
        <v>Panel J</v>
      </c>
      <c r="Z136" s="177">
        <f>Panels!C95</f>
        <v>67.415808773208724</v>
      </c>
      <c r="AA136" s="177">
        <f>Panels!D95</f>
        <v>42.178720009805311</v>
      </c>
      <c r="AB136" s="177">
        <f>Z136+10*$E$20</f>
        <v>77.338607145098308</v>
      </c>
      <c r="AC136" s="177">
        <f>AA136-10*$E$21</f>
        <v>40.938529512008536</v>
      </c>
      <c r="AD136" s="219">
        <f>(AC136-AA136)/(AB136-Z136)</f>
        <v>-0.12498394619305429</v>
      </c>
      <c r="AE136" s="219">
        <f>(AC136*Z136-AA136*AB136)/(Z136-AB136)</f>
        <v>50.604613826077298</v>
      </c>
      <c r="AF136" s="177">
        <f>IF(AD135&lt;&gt;"vertical",(AE135-AE136)/(AD136-AD135),Z135)</f>
        <v>79.159137258201426</v>
      </c>
      <c r="AG136" s="177">
        <f>AF136*AD136+AE136</f>
        <v>40.710992474309649</v>
      </c>
    </row>
    <row r="137" spans="1:33" x14ac:dyDescent="0.2">
      <c r="A137" s="109"/>
      <c r="B137" s="11"/>
      <c r="C137" s="168"/>
      <c r="D137" s="169"/>
      <c r="E137" s="169"/>
      <c r="F137" s="161"/>
      <c r="G137" s="162"/>
      <c r="H137" s="169"/>
      <c r="I137" s="169"/>
      <c r="J137" s="162">
        <f>J136</f>
        <v>73.287473015705075</v>
      </c>
      <c r="K137" s="162">
        <f>K136</f>
        <v>41.444856242057483</v>
      </c>
      <c r="L137" s="169"/>
      <c r="M137" s="162">
        <f>((H135-H132)^2+(I135-I132)^2)^0.5</f>
        <v>2.2835287285685535</v>
      </c>
      <c r="N137" s="162">
        <f>N134+M137</f>
        <v>164.2142906493865</v>
      </c>
      <c r="O137" s="162">
        <f t="shared" ref="O137" si="180">$O$14</f>
        <v>31.750000000000004</v>
      </c>
      <c r="P137" s="162">
        <v>2</v>
      </c>
      <c r="Q137" s="164">
        <f t="shared" ref="Q137" si="181">((C135-C136)^2+(D135-D136)^2)^0.5*O137*P137</f>
        <v>751.50308496597381</v>
      </c>
      <c r="R137" s="182">
        <f t="shared" si="145"/>
        <v>375.75154248298691</v>
      </c>
      <c r="S137" s="182">
        <f t="shared" si="146"/>
        <v>-375.75154248298691</v>
      </c>
      <c r="T137" s="183">
        <f t="shared" si="171"/>
        <v>3.1147889711872949</v>
      </c>
      <c r="U137" s="182">
        <f t="shared" si="172"/>
        <v>377.30893696858055</v>
      </c>
      <c r="V137" s="182">
        <f t="shared" si="148"/>
        <v>-377.30893696858055</v>
      </c>
    </row>
    <row r="138" spans="1:33" x14ac:dyDescent="0.2">
      <c r="A138" s="109"/>
      <c r="B138" s="11"/>
      <c r="C138" s="155">
        <f>C141</f>
        <v>67.415808773208724</v>
      </c>
      <c r="D138" s="156">
        <f>D141</f>
        <v>42.178720009805311</v>
      </c>
      <c r="E138" s="157"/>
      <c r="F138" s="156">
        <f>IF('Cyclops TH'!$I$6="x",C138,0)</f>
        <v>67.415808773208724</v>
      </c>
      <c r="G138" s="156">
        <f>IF('Cyclops TH'!$I$6="x",D138,0)</f>
        <v>42.178720009805311</v>
      </c>
      <c r="H138" s="156">
        <f>SUM(C138:C139)/2</f>
        <v>73.287473015705075</v>
      </c>
      <c r="I138" s="156">
        <f>SUM(D138:D139)/2</f>
        <v>38.075183927080133</v>
      </c>
      <c r="J138" s="156">
        <f>IF('Cyclops TH'!$I$5="x",H138,"")</f>
        <v>73.287473015705075</v>
      </c>
      <c r="K138" s="156">
        <f>IF('Cyclops TH'!$I$5="x",I138,"")</f>
        <v>38.075183927080133</v>
      </c>
      <c r="L138" s="157"/>
      <c r="M138" s="156">
        <f>M137</f>
        <v>2.2835287285685535</v>
      </c>
      <c r="N138" s="156">
        <f>N137</f>
        <v>164.2142906493865</v>
      </c>
      <c r="O138" s="156"/>
      <c r="P138" s="156"/>
      <c r="Q138" s="167">
        <f t="shared" ref="Q138:Q139" si="182">Q137</f>
        <v>751.50308496597381</v>
      </c>
      <c r="R138" s="182">
        <f t="shared" si="145"/>
        <v>375.75154248298691</v>
      </c>
      <c r="S138" s="182">
        <f t="shared" si="146"/>
        <v>-375.75154248298691</v>
      </c>
      <c r="T138" s="183">
        <f t="shared" ref="T138:T161" si="183">(U138-R138)*2</f>
        <v>3.1147889711872949</v>
      </c>
      <c r="U138" s="182">
        <f t="shared" ref="U138:U161" si="184">(($D$11-$D$9)*(N138-$E$9)/($E$11-$E$9)+$D$9)/2</f>
        <v>377.30893696858055</v>
      </c>
      <c r="V138" s="182">
        <f t="shared" si="148"/>
        <v>-377.30893696858055</v>
      </c>
    </row>
    <row r="139" spans="1:33" x14ac:dyDescent="0.2">
      <c r="A139" s="1">
        <f t="shared" ref="A139" si="185">A142+1</f>
        <v>10</v>
      </c>
      <c r="B139" s="128">
        <f t="shared" ref="B139" si="186">B136+1</f>
        <v>38</v>
      </c>
      <c r="C139" s="155">
        <f>C136</f>
        <v>79.159137258201426</v>
      </c>
      <c r="D139" s="156">
        <f>(D136+D142)/2</f>
        <v>33.971647844354948</v>
      </c>
      <c r="E139" s="157"/>
      <c r="F139" s="156">
        <f>IF('Cyclops TH'!$I$6="x",C139,0)</f>
        <v>79.159137258201426</v>
      </c>
      <c r="G139" s="156">
        <f>IF('Cyclops TH'!$I$6="x",D139,0)</f>
        <v>33.971647844354948</v>
      </c>
      <c r="H139" s="173"/>
      <c r="I139" s="174"/>
      <c r="J139" s="156">
        <f>J138</f>
        <v>73.287473015705075</v>
      </c>
      <c r="K139" s="156">
        <f>K138</f>
        <v>38.075183927080133</v>
      </c>
      <c r="L139" s="157"/>
      <c r="M139" s="156">
        <f>M138</f>
        <v>2.2835287285685535</v>
      </c>
      <c r="N139" s="156">
        <f>N138</f>
        <v>164.2142906493865</v>
      </c>
      <c r="O139" s="156"/>
      <c r="P139" s="156"/>
      <c r="Q139" s="167">
        <f t="shared" si="182"/>
        <v>751.50308496597381</v>
      </c>
      <c r="R139" s="182">
        <f t="shared" si="145"/>
        <v>375.75154248298691</v>
      </c>
      <c r="S139" s="182">
        <f t="shared" si="146"/>
        <v>-375.75154248298691</v>
      </c>
      <c r="T139" s="183">
        <f t="shared" si="183"/>
        <v>3.1147889711872949</v>
      </c>
      <c r="U139" s="182">
        <f t="shared" si="184"/>
        <v>377.30893696858055</v>
      </c>
      <c r="V139" s="182">
        <f t="shared" si="148"/>
        <v>-377.30893696858055</v>
      </c>
    </row>
    <row r="140" spans="1:33" x14ac:dyDescent="0.2">
      <c r="A140" s="109"/>
      <c r="B140" s="11"/>
      <c r="C140" s="168"/>
      <c r="D140" s="169"/>
      <c r="E140" s="169"/>
      <c r="F140" s="161"/>
      <c r="G140" s="162"/>
      <c r="H140" s="169"/>
      <c r="I140" s="169"/>
      <c r="J140" s="162">
        <f>J139</f>
        <v>73.287473015705075</v>
      </c>
      <c r="K140" s="162">
        <f>K139</f>
        <v>38.075183927080133</v>
      </c>
      <c r="L140" s="169"/>
      <c r="M140" s="162">
        <f>((H138-H135)^2+(I138-I135)^2)^0.5</f>
        <v>3.3696723149773504</v>
      </c>
      <c r="N140" s="162">
        <f>N137+M140</f>
        <v>167.58396296436385</v>
      </c>
      <c r="O140" s="162">
        <f t="shared" ref="O140" si="187">$O$14</f>
        <v>31.750000000000004</v>
      </c>
      <c r="P140" s="162">
        <v>2</v>
      </c>
      <c r="Q140" s="164">
        <f t="shared" ref="Q140" si="188">((C138-C139)^2+(D138-D139)^2)^0.5*O140*P140</f>
        <v>909.76199234123578</v>
      </c>
      <c r="R140" s="182">
        <f t="shared" si="145"/>
        <v>454.88099617061789</v>
      </c>
      <c r="S140" s="182">
        <f t="shared" si="146"/>
        <v>-454.88099617061789</v>
      </c>
      <c r="T140" s="183">
        <f t="shared" si="183"/>
        <v>-97.061012389463031</v>
      </c>
      <c r="U140" s="182">
        <f t="shared" si="184"/>
        <v>406.35048997588638</v>
      </c>
      <c r="V140" s="182">
        <f t="shared" si="148"/>
        <v>-406.35048997588638</v>
      </c>
    </row>
    <row r="141" spans="1:33" x14ac:dyDescent="0.2">
      <c r="A141" s="109"/>
      <c r="B141" s="11"/>
      <c r="C141" s="151">
        <f>C144</f>
        <v>67.415808773208724</v>
      </c>
      <c r="D141" s="152">
        <f>D144</f>
        <v>42.178720009805311</v>
      </c>
      <c r="E141" s="153"/>
      <c r="F141" s="152">
        <f>IF('Cyclops TH'!$I$6="x",C141,0)</f>
        <v>67.415808773208724</v>
      </c>
      <c r="G141" s="152">
        <f>IF('Cyclops TH'!$I$6="x",D141,0)</f>
        <v>42.178720009805311</v>
      </c>
      <c r="H141" s="152">
        <f>SUM(C141:C142)/2</f>
        <v>69.884625356322942</v>
      </c>
      <c r="I141" s="152">
        <f>SUM(D141:D142)/2</f>
        <v>34.705511612102782</v>
      </c>
      <c r="J141" s="152">
        <f>IF('Cyclops TH'!$I$5="x",H141,"")</f>
        <v>69.884625356322942</v>
      </c>
      <c r="K141" s="152">
        <f>IF('Cyclops TH'!$I$5="x",I141,"")</f>
        <v>34.705511612102782</v>
      </c>
      <c r="L141" s="153"/>
      <c r="M141" s="152">
        <f>M140</f>
        <v>3.3696723149773504</v>
      </c>
      <c r="N141" s="152">
        <f>N140</f>
        <v>167.58396296436385</v>
      </c>
      <c r="O141" s="152"/>
      <c r="P141" s="152"/>
      <c r="Q141" s="166">
        <f t="shared" ref="Q141:Q142" si="189">Q140</f>
        <v>909.76199234123578</v>
      </c>
      <c r="R141" s="182">
        <f t="shared" si="145"/>
        <v>454.88099617061789</v>
      </c>
      <c r="S141" s="182">
        <f t="shared" si="146"/>
        <v>-454.88099617061789</v>
      </c>
      <c r="T141" s="183">
        <f t="shared" si="183"/>
        <v>-97.061012389463031</v>
      </c>
      <c r="U141" s="182">
        <f t="shared" si="184"/>
        <v>406.35048997588638</v>
      </c>
      <c r="V141" s="182">
        <f t="shared" si="148"/>
        <v>-406.35048997588638</v>
      </c>
    </row>
    <row r="142" spans="1:33" x14ac:dyDescent="0.2">
      <c r="A142" s="1">
        <f t="shared" ref="A142" si="190">A145+1</f>
        <v>9</v>
      </c>
      <c r="B142" s="128">
        <f t="shared" ref="B142" si="191">B139+1</f>
        <v>39</v>
      </c>
      <c r="C142" s="155">
        <f>(C145+C136)/2</f>
        <v>72.353441939437147</v>
      </c>
      <c r="D142" s="156">
        <f>D145</f>
        <v>27.232303214400247</v>
      </c>
      <c r="E142" s="157"/>
      <c r="F142" s="156">
        <f>IF('Cyclops TH'!$I$6="x",C142,0)</f>
        <v>72.353441939437147</v>
      </c>
      <c r="G142" s="156">
        <f>IF('Cyclops TH'!$I$6="x",D142,0)</f>
        <v>27.232303214400247</v>
      </c>
      <c r="H142" s="173"/>
      <c r="I142" s="174"/>
      <c r="J142" s="156">
        <f>J141</f>
        <v>69.884625356322942</v>
      </c>
      <c r="K142" s="156">
        <f>K141</f>
        <v>34.705511612102782</v>
      </c>
      <c r="L142" s="157"/>
      <c r="M142" s="156">
        <f>M141</f>
        <v>3.3696723149773504</v>
      </c>
      <c r="N142" s="156">
        <f>N141</f>
        <v>167.58396296436385</v>
      </c>
      <c r="O142" s="156"/>
      <c r="P142" s="156"/>
      <c r="Q142" s="167">
        <f t="shared" si="189"/>
        <v>909.76199234123578</v>
      </c>
      <c r="R142" s="182">
        <f t="shared" si="145"/>
        <v>454.88099617061789</v>
      </c>
      <c r="S142" s="182">
        <f t="shared" si="146"/>
        <v>-454.88099617061789</v>
      </c>
      <c r="T142" s="183">
        <f t="shared" si="183"/>
        <v>-97.061012389463031</v>
      </c>
      <c r="U142" s="182">
        <f t="shared" si="184"/>
        <v>406.35048997588638</v>
      </c>
      <c r="V142" s="182">
        <f t="shared" si="148"/>
        <v>-406.35048997588638</v>
      </c>
    </row>
    <row r="143" spans="1:33" x14ac:dyDescent="0.2">
      <c r="A143" s="109"/>
      <c r="B143" s="11"/>
      <c r="C143" s="168"/>
      <c r="D143" s="169"/>
      <c r="E143" s="169"/>
      <c r="F143" s="161"/>
      <c r="G143" s="162"/>
      <c r="H143" s="169"/>
      <c r="I143" s="169"/>
      <c r="J143" s="162">
        <f>J142</f>
        <v>69.884625356322942</v>
      </c>
      <c r="K143" s="162">
        <f>K142</f>
        <v>34.705511612102782</v>
      </c>
      <c r="L143" s="169"/>
      <c r="M143" s="162">
        <f>((H141-H138)^2+(I141-I138)^2)^0.5</f>
        <v>4.7889522552733048</v>
      </c>
      <c r="N143" s="162">
        <f>N140+M143</f>
        <v>172.37291521963715</v>
      </c>
      <c r="O143" s="162">
        <f t="shared" ref="O143" si="192">$O$14</f>
        <v>31.750000000000004</v>
      </c>
      <c r="P143" s="162">
        <v>2</v>
      </c>
      <c r="Q143" s="164">
        <f t="shared" ref="Q143" si="193">((C141-C142)^2+(D141-D142)^2)^0.5*O143*P143</f>
        <v>999.54647125868905</v>
      </c>
      <c r="R143" s="182">
        <f t="shared" si="145"/>
        <v>499.77323562934453</v>
      </c>
      <c r="S143" s="182">
        <f t="shared" si="146"/>
        <v>-499.77323562934453</v>
      </c>
      <c r="T143" s="183">
        <f t="shared" si="183"/>
        <v>-104.29822986976887</v>
      </c>
      <c r="U143" s="182">
        <f t="shared" si="184"/>
        <v>447.62412069446009</v>
      </c>
      <c r="V143" s="182">
        <f t="shared" si="148"/>
        <v>-447.62412069446009</v>
      </c>
    </row>
    <row r="144" spans="1:33" x14ac:dyDescent="0.2">
      <c r="A144" s="109"/>
      <c r="B144" s="11"/>
      <c r="C144" s="151">
        <f>Panels!C95</f>
        <v>67.415808773208724</v>
      </c>
      <c r="D144" s="152">
        <f>Panels!D95</f>
        <v>42.178720009805311</v>
      </c>
      <c r="E144" s="153"/>
      <c r="F144" s="152">
        <f>IF('Cyclops TH'!$I$6="x",C144,0)</f>
        <v>67.415808773208724</v>
      </c>
      <c r="G144" s="152">
        <f>IF('Cyclops TH'!$I$6="x",D144,0)</f>
        <v>42.178720009805311</v>
      </c>
      <c r="H144" s="152">
        <f>SUM(C144:C145)/2</f>
        <v>66.481777696940782</v>
      </c>
      <c r="I144" s="152">
        <f>SUM(D144:D145)/2</f>
        <v>34.705511612102782</v>
      </c>
      <c r="J144" s="152">
        <f>IF('Cyclops TH'!$I$5="x",H144,"")</f>
        <v>66.481777696940782</v>
      </c>
      <c r="K144" s="152">
        <f>IF('Cyclops TH'!$I$5="x",I144,"")</f>
        <v>34.705511612102782</v>
      </c>
      <c r="L144" s="153"/>
      <c r="M144" s="152">
        <f>M143</f>
        <v>4.7889522552733048</v>
      </c>
      <c r="N144" s="152">
        <f>N143</f>
        <v>172.37291521963715</v>
      </c>
      <c r="O144" s="152"/>
      <c r="P144" s="152"/>
      <c r="Q144" s="166">
        <f t="shared" ref="Q144:Q145" si="194">Q143</f>
        <v>999.54647125868905</v>
      </c>
      <c r="R144" s="182">
        <f t="shared" si="145"/>
        <v>499.77323562934453</v>
      </c>
      <c r="S144" s="182">
        <f t="shared" si="146"/>
        <v>-499.77323562934453</v>
      </c>
      <c r="T144" s="183">
        <f t="shared" si="183"/>
        <v>-104.29822986976887</v>
      </c>
      <c r="U144" s="182">
        <f t="shared" si="184"/>
        <v>447.62412069446009</v>
      </c>
      <c r="V144" s="182">
        <f t="shared" si="148"/>
        <v>-447.62412069446009</v>
      </c>
      <c r="Y144" s="1" t="str">
        <f>Panels!A51</f>
        <v>Panel F (baffle)</v>
      </c>
      <c r="Z144" s="177">
        <f>Panels!C52</f>
        <v>81.437976345471327</v>
      </c>
      <c r="AA144" s="177">
        <f>Panels!D52</f>
        <v>27.232303214400272</v>
      </c>
      <c r="AB144" s="177">
        <f>Panels!C53</f>
        <v>10.002023654528685</v>
      </c>
      <c r="AC144" s="177">
        <f>Panels!D53</f>
        <v>27.232303214400272</v>
      </c>
      <c r="AD144" s="219">
        <f>IF(AB144-Z144&lt;&gt;0,(AC144-AA144)/(AB144-Z144),"vertical")</f>
        <v>0</v>
      </c>
      <c r="AE144" s="219">
        <f>IF(AD144&lt;&gt;"vertical",(AC144*Z144-AA144*AB144)/(Z144-AB144),AA144)</f>
        <v>27.232303214400272</v>
      </c>
    </row>
    <row r="145" spans="1:33" x14ac:dyDescent="0.2">
      <c r="A145" s="1">
        <f t="shared" ref="A145" si="195">A148+1</f>
        <v>8</v>
      </c>
      <c r="B145" s="128">
        <f t="shared" ref="B145" si="196">B142+1</f>
        <v>40</v>
      </c>
      <c r="C145" s="155">
        <f>AF145</f>
        <v>65.547746620672854</v>
      </c>
      <c r="D145" s="156">
        <f>AG145</f>
        <v>27.232303214400247</v>
      </c>
      <c r="E145" s="157"/>
      <c r="F145" s="156">
        <f>IF('Cyclops TH'!$I$6="x",C145,0)</f>
        <v>65.547746620672854</v>
      </c>
      <c r="G145" s="156">
        <f>IF('Cyclops TH'!$I$6="x",D145,0)</f>
        <v>27.232303214400247</v>
      </c>
      <c r="H145" s="173"/>
      <c r="I145" s="174"/>
      <c r="J145" s="156">
        <f>J144</f>
        <v>66.481777696940782</v>
      </c>
      <c r="K145" s="156">
        <f>K144</f>
        <v>34.705511612102782</v>
      </c>
      <c r="L145" s="157"/>
      <c r="M145" s="156">
        <f>M144</f>
        <v>4.7889522552733048</v>
      </c>
      <c r="N145" s="156">
        <f>N144</f>
        <v>172.37291521963715</v>
      </c>
      <c r="O145" s="156"/>
      <c r="P145" s="156"/>
      <c r="Q145" s="167">
        <f t="shared" si="194"/>
        <v>999.54647125868905</v>
      </c>
      <c r="R145" s="182">
        <f t="shared" si="145"/>
        <v>499.77323562934453</v>
      </c>
      <c r="S145" s="182">
        <f t="shared" si="146"/>
        <v>-499.77323562934453</v>
      </c>
      <c r="T145" s="183">
        <f t="shared" si="183"/>
        <v>-104.29822986976887</v>
      </c>
      <c r="U145" s="182">
        <f t="shared" si="184"/>
        <v>447.62412069446009</v>
      </c>
      <c r="V145" s="182">
        <f t="shared" si="148"/>
        <v>-447.62412069446009</v>
      </c>
      <c r="Y145" s="1" t="str">
        <f>Panels!A93</f>
        <v>Panel J</v>
      </c>
      <c r="Z145" s="177">
        <f>Panels!C95</f>
        <v>67.415808773208724</v>
      </c>
      <c r="AA145" s="177">
        <f>Panels!D95</f>
        <v>42.178720009805311</v>
      </c>
      <c r="AB145" s="177">
        <f>Z145-10*$E$21</f>
        <v>66.175618275411949</v>
      </c>
      <c r="AC145" s="177">
        <f>AA145-10*$E$20</f>
        <v>32.255921637915726</v>
      </c>
      <c r="AD145" s="219">
        <f>(AC145-AA145)/(AB145-Z145)</f>
        <v>8.0010275756165292</v>
      </c>
      <c r="AE145" s="219">
        <f>(AC145*Z145-AA145*AB145)/(Z145-AB145)</f>
        <v>-497.21702501712838</v>
      </c>
      <c r="AF145" s="177">
        <f>IF(AD144&lt;&gt;"vertical",(AE144-AE145)/(AD145-AD144),Z144)</f>
        <v>65.547746620672854</v>
      </c>
      <c r="AG145" s="177">
        <f>AF145*AD145+AE145</f>
        <v>27.232303214400247</v>
      </c>
    </row>
    <row r="146" spans="1:33" x14ac:dyDescent="0.2">
      <c r="A146" s="109"/>
      <c r="B146" s="11"/>
      <c r="C146" s="168"/>
      <c r="D146" s="169"/>
      <c r="E146" s="169"/>
      <c r="F146" s="161"/>
      <c r="G146" s="162"/>
      <c r="H146" s="169"/>
      <c r="I146" s="169"/>
      <c r="J146" s="162">
        <f>J145</f>
        <v>66.481777696940782</v>
      </c>
      <c r="K146" s="162">
        <f>K145</f>
        <v>34.705511612102782</v>
      </c>
      <c r="L146" s="169"/>
      <c r="M146" s="162">
        <f>((H144-H141)^2+(I144-I141)^2)^0.5</f>
        <v>3.4028476593821608</v>
      </c>
      <c r="N146" s="162">
        <f>N143+M146</f>
        <v>175.77576287901931</v>
      </c>
      <c r="O146" s="162">
        <f t="shared" ref="O146" si="197">$O$14</f>
        <v>31.750000000000004</v>
      </c>
      <c r="P146" s="162">
        <v>2</v>
      </c>
      <c r="Q146" s="164">
        <f t="shared" ref="Q146" si="198">((C144-C145)^2+(D144-D145)^2)^0.5*O146*P146</f>
        <v>956.48166065424778</v>
      </c>
      <c r="R146" s="182">
        <f t="shared" si="145"/>
        <v>478.24083032712389</v>
      </c>
      <c r="S146" s="182">
        <f t="shared" si="146"/>
        <v>-478.24083032712389</v>
      </c>
      <c r="T146" s="183">
        <f t="shared" si="183"/>
        <v>-2.5784692059488634</v>
      </c>
      <c r="U146" s="182">
        <f t="shared" si="184"/>
        <v>476.95159572414946</v>
      </c>
      <c r="V146" s="182">
        <f t="shared" si="148"/>
        <v>-476.95159572414946</v>
      </c>
    </row>
    <row r="147" spans="1:33" x14ac:dyDescent="0.2">
      <c r="A147" s="109"/>
      <c r="B147" s="11"/>
      <c r="C147" s="155">
        <f>AF148</f>
        <v>63.642746620672867</v>
      </c>
      <c r="D147" s="156">
        <f>AG148</f>
        <v>27.232303214400247</v>
      </c>
      <c r="E147" s="157"/>
      <c r="F147" s="156">
        <f>IF('Cyclops TH'!$I$6="x",C147,0)</f>
        <v>63.642746620672867</v>
      </c>
      <c r="G147" s="156">
        <f>IF('Cyclops TH'!$I$6="x",D147,0)</f>
        <v>27.232303214400247</v>
      </c>
      <c r="H147" s="156">
        <f>SUM(C147:C148)/2</f>
        <v>64.606077977510012</v>
      </c>
      <c r="I147" s="156">
        <f>SUM(D147:D148)/2</f>
        <v>34.939943964910441</v>
      </c>
      <c r="J147" s="156">
        <f>IF('Cyclops TH'!$I$5="x",H147,"")</f>
        <v>64.606077977510012</v>
      </c>
      <c r="K147" s="156">
        <f>IF('Cyclops TH'!$I$5="x",I147,"")</f>
        <v>34.939943964910441</v>
      </c>
      <c r="L147" s="157"/>
      <c r="M147" s="156">
        <f>M146</f>
        <v>3.4028476593821608</v>
      </c>
      <c r="N147" s="156">
        <f>N146</f>
        <v>175.77576287901931</v>
      </c>
      <c r="O147" s="156"/>
      <c r="P147" s="156"/>
      <c r="Q147" s="167">
        <f t="shared" ref="Q147:Q148" si="199">Q146</f>
        <v>956.48166065424778</v>
      </c>
      <c r="R147" s="182">
        <f t="shared" si="145"/>
        <v>478.24083032712389</v>
      </c>
      <c r="S147" s="182">
        <f t="shared" si="146"/>
        <v>-478.24083032712389</v>
      </c>
      <c r="T147" s="183">
        <f t="shared" si="183"/>
        <v>-2.5784692059488634</v>
      </c>
      <c r="U147" s="182">
        <f t="shared" si="184"/>
        <v>476.95159572414946</v>
      </c>
      <c r="V147" s="182">
        <f t="shared" si="148"/>
        <v>-476.95159572414946</v>
      </c>
      <c r="Y147" s="1" t="str">
        <f>Panels!A51</f>
        <v>Panel F (baffle)</v>
      </c>
      <c r="Z147" s="177">
        <f>Panels!C52</f>
        <v>81.437976345471327</v>
      </c>
      <c r="AA147" s="177">
        <f>Panels!D52</f>
        <v>27.232303214400272</v>
      </c>
      <c r="AB147" s="177">
        <f>Panels!C53</f>
        <v>10.002023654528685</v>
      </c>
      <c r="AC147" s="177">
        <f>Panels!D53</f>
        <v>27.232303214400272</v>
      </c>
      <c r="AD147" s="219">
        <f>IF(AB147-Z147&lt;&gt;0,(AC147-AA147)/(AB147-Z147),"vertical")</f>
        <v>0</v>
      </c>
      <c r="AE147" s="219">
        <f>IF(AD147&lt;&gt;"vertical",(AC147*Z147-AA147*AB147)/(Z147-AB147),AA147)</f>
        <v>27.232303214400272</v>
      </c>
    </row>
    <row r="148" spans="1:33" x14ac:dyDescent="0.2">
      <c r="A148" s="1">
        <f t="shared" ref="A148" si="200">A151+1</f>
        <v>7</v>
      </c>
      <c r="B148" s="128">
        <f t="shared" ref="B148" si="201">B145+1</f>
        <v>41</v>
      </c>
      <c r="C148" s="155">
        <f>C151</f>
        <v>65.569409334347171</v>
      </c>
      <c r="D148" s="156">
        <f>D151</f>
        <v>42.647584715420635</v>
      </c>
      <c r="E148" s="157"/>
      <c r="F148" s="156">
        <f>IF('Cyclops TH'!$I$6="x",C148,0)</f>
        <v>65.569409334347171</v>
      </c>
      <c r="G148" s="156">
        <f>IF('Cyclops TH'!$I$6="x",D148,0)</f>
        <v>42.647584715420635</v>
      </c>
      <c r="H148" s="173"/>
      <c r="I148" s="174"/>
      <c r="J148" s="156">
        <f>J147</f>
        <v>64.606077977510012</v>
      </c>
      <c r="K148" s="156">
        <f>K147</f>
        <v>34.939943964910441</v>
      </c>
      <c r="L148" s="157"/>
      <c r="M148" s="156">
        <f>M147</f>
        <v>3.4028476593821608</v>
      </c>
      <c r="N148" s="156">
        <f>N147</f>
        <v>175.77576287901931</v>
      </c>
      <c r="O148" s="156"/>
      <c r="P148" s="156"/>
      <c r="Q148" s="167">
        <f t="shared" si="199"/>
        <v>956.48166065424778</v>
      </c>
      <c r="R148" s="182">
        <f t="shared" si="145"/>
        <v>478.24083032712389</v>
      </c>
      <c r="S148" s="182">
        <f t="shared" si="146"/>
        <v>-478.24083032712389</v>
      </c>
      <c r="T148" s="183">
        <f t="shared" si="183"/>
        <v>-2.5784692059488634</v>
      </c>
      <c r="U148" s="182">
        <f t="shared" si="184"/>
        <v>476.95159572414946</v>
      </c>
      <c r="V148" s="182">
        <f t="shared" si="148"/>
        <v>-476.95159572414946</v>
      </c>
      <c r="Y148" s="1" t="str">
        <f>Panels!A93</f>
        <v>Panel J</v>
      </c>
      <c r="Z148" s="177">
        <f>Panels!C94</f>
        <v>65.569409334347171</v>
      </c>
      <c r="AA148" s="177">
        <f>Panels!D94</f>
        <v>42.647584715420635</v>
      </c>
      <c r="AB148" s="177">
        <f>Z148-10*$E$21</f>
        <v>64.329218836550396</v>
      </c>
      <c r="AC148" s="177">
        <f>AA148-10*$E$20</f>
        <v>32.724786343531051</v>
      </c>
      <c r="AD148" s="219">
        <f>(AC148-AA148)/(AB148-Z148)</f>
        <v>8.0010275756165292</v>
      </c>
      <c r="AE148" s="219">
        <f>(AC148*Z148-AA148*AB148)/(Z148-AB148)</f>
        <v>-481.97506748557902</v>
      </c>
      <c r="AF148" s="177">
        <f>IF(AD147&lt;&gt;"vertical",(AE147-AE148)/(AD148-AD147),Z147)</f>
        <v>63.642746620672867</v>
      </c>
      <c r="AG148" s="177">
        <f>AF148*AD148+AE148</f>
        <v>27.232303214400247</v>
      </c>
    </row>
    <row r="149" spans="1:33" x14ac:dyDescent="0.2">
      <c r="A149" s="109"/>
      <c r="B149" s="11"/>
      <c r="C149" s="168"/>
      <c r="D149" s="169"/>
      <c r="E149" s="169"/>
      <c r="F149" s="161"/>
      <c r="G149" s="162"/>
      <c r="H149" s="169"/>
      <c r="I149" s="169"/>
      <c r="J149" s="162">
        <f>J148</f>
        <v>64.606077977510012</v>
      </c>
      <c r="K149" s="162">
        <f>K148</f>
        <v>34.939943964910441</v>
      </c>
      <c r="L149" s="169"/>
      <c r="M149" s="162">
        <f>((H147-H144)^2+(I147-I144)^2)^0.5</f>
        <v>1.8902930898449595</v>
      </c>
      <c r="N149" s="162">
        <f>N146+M149</f>
        <v>177.66605596886427</v>
      </c>
      <c r="O149" s="162">
        <f t="shared" ref="O149" si="202">$O$14</f>
        <v>31.750000000000004</v>
      </c>
      <c r="P149" s="162">
        <v>2</v>
      </c>
      <c r="Q149" s="164">
        <f t="shared" ref="Q149" si="203">((C147-C148)^2+(D147-D148)^2)^0.5*O149*P149</f>
        <v>986.48620946269386</v>
      </c>
      <c r="R149" s="182">
        <f t="shared" si="145"/>
        <v>493.24310473134693</v>
      </c>
      <c r="S149" s="182">
        <f t="shared" si="146"/>
        <v>-493.24310473134693</v>
      </c>
      <c r="T149" s="183">
        <f t="shared" si="183"/>
        <v>5.7761667449085508E-8</v>
      </c>
      <c r="U149" s="182">
        <f t="shared" si="184"/>
        <v>493.24310476022777</v>
      </c>
      <c r="V149" s="182">
        <f t="shared" si="148"/>
        <v>-493.24310476022777</v>
      </c>
    </row>
    <row r="150" spans="1:33" x14ac:dyDescent="0.2">
      <c r="A150" s="109"/>
      <c r="B150" s="11"/>
      <c r="C150" s="151">
        <f>(Panels!C117+C147)/2</f>
        <v>54.681373310336433</v>
      </c>
      <c r="D150" s="152">
        <f>D147</f>
        <v>27.232303214400247</v>
      </c>
      <c r="E150" s="153"/>
      <c r="F150" s="152">
        <f>IF('Cyclops TH'!$I$6="x",C150,0)</f>
        <v>54.681373310336433</v>
      </c>
      <c r="G150" s="152">
        <f>IF('Cyclops TH'!$I$6="x",D150,0)</f>
        <v>27.232303214400247</v>
      </c>
      <c r="H150" s="152">
        <f>SUM(C150:C151)/2</f>
        <v>60.125391322341798</v>
      </c>
      <c r="I150" s="152">
        <f>SUM(D150:D151)/2</f>
        <v>34.939943964910441</v>
      </c>
      <c r="J150" s="152">
        <f>IF('Cyclops TH'!$I$5="x",H150,"")</f>
        <v>60.125391322341798</v>
      </c>
      <c r="K150" s="152">
        <f>IF('Cyclops TH'!$I$5="x",I150,"")</f>
        <v>34.939943964910441</v>
      </c>
      <c r="L150" s="153"/>
      <c r="M150" s="152">
        <f>M149</f>
        <v>1.8902930898449595</v>
      </c>
      <c r="N150" s="152">
        <f>N149</f>
        <v>177.66605596886427</v>
      </c>
      <c r="O150" s="152"/>
      <c r="P150" s="152"/>
      <c r="Q150" s="166">
        <f t="shared" ref="Q150:Q151" si="204">Q149</f>
        <v>986.48620946269386</v>
      </c>
      <c r="R150" s="182">
        <f t="shared" si="145"/>
        <v>493.24310473134693</v>
      </c>
      <c r="S150" s="182">
        <f t="shared" si="146"/>
        <v>-493.24310473134693</v>
      </c>
      <c r="T150" s="183">
        <f t="shared" si="183"/>
        <v>5.7761667449085508E-8</v>
      </c>
      <c r="U150" s="182">
        <f t="shared" si="184"/>
        <v>493.24310476022777</v>
      </c>
      <c r="V150" s="182">
        <f t="shared" si="148"/>
        <v>-493.24310476022777</v>
      </c>
    </row>
    <row r="151" spans="1:33" x14ac:dyDescent="0.2">
      <c r="A151" s="1">
        <f t="shared" ref="A151" si="205">A154+1</f>
        <v>6</v>
      </c>
      <c r="B151" s="128">
        <f t="shared" ref="B151" si="206">B148+1</f>
        <v>42</v>
      </c>
      <c r="C151" s="155">
        <f>C154</f>
        <v>65.569409334347171</v>
      </c>
      <c r="D151" s="156">
        <f>D154</f>
        <v>42.647584715420635</v>
      </c>
      <c r="E151" s="157"/>
      <c r="F151" s="156">
        <f>IF('Cyclops TH'!$I$6="x",C151,0)</f>
        <v>65.569409334347171</v>
      </c>
      <c r="G151" s="156">
        <f>IF('Cyclops TH'!$I$6="x",D151,0)</f>
        <v>42.647584715420635</v>
      </c>
      <c r="H151" s="173"/>
      <c r="I151" s="174"/>
      <c r="J151" s="156">
        <f>J150</f>
        <v>60.125391322341798</v>
      </c>
      <c r="K151" s="156">
        <f>K150</f>
        <v>34.939943964910441</v>
      </c>
      <c r="L151" s="157"/>
      <c r="M151" s="156">
        <f>M150</f>
        <v>1.8902930898449595</v>
      </c>
      <c r="N151" s="156">
        <f>N150</f>
        <v>177.66605596886427</v>
      </c>
      <c r="O151" s="156"/>
      <c r="P151" s="156"/>
      <c r="Q151" s="167">
        <f t="shared" si="204"/>
        <v>986.48620946269386</v>
      </c>
      <c r="R151" s="182">
        <f t="shared" si="145"/>
        <v>493.24310473134693</v>
      </c>
      <c r="S151" s="182">
        <f t="shared" si="146"/>
        <v>-493.24310473134693</v>
      </c>
      <c r="T151" s="183">
        <f t="shared" si="183"/>
        <v>5.7761667449085508E-8</v>
      </c>
      <c r="U151" s="182">
        <f t="shared" si="184"/>
        <v>493.24310476022777</v>
      </c>
      <c r="V151" s="182">
        <f t="shared" si="148"/>
        <v>-493.24310476022777</v>
      </c>
    </row>
    <row r="152" spans="1:33" x14ac:dyDescent="0.2">
      <c r="A152" s="109"/>
      <c r="B152" s="11"/>
      <c r="C152" s="168"/>
      <c r="D152" s="169"/>
      <c r="E152" s="169"/>
      <c r="F152" s="161"/>
      <c r="G152" s="162"/>
      <c r="H152" s="169"/>
      <c r="I152" s="169"/>
      <c r="J152" s="162">
        <f>J151</f>
        <v>60.125391322341798</v>
      </c>
      <c r="K152" s="162">
        <f>K151</f>
        <v>34.939943964910441</v>
      </c>
      <c r="L152" s="169"/>
      <c r="M152" s="162">
        <f>((H150-H147)^2+(I150-I147)^2)^0.5</f>
        <v>4.4806866551682134</v>
      </c>
      <c r="N152" s="162">
        <f>N149+M152</f>
        <v>182.14674262403247</v>
      </c>
      <c r="O152" s="162">
        <f t="shared" ref="O152" si="207">$O$14</f>
        <v>31.750000000000004</v>
      </c>
      <c r="P152" s="162">
        <v>2</v>
      </c>
      <c r="Q152" s="164">
        <f t="shared" ref="Q152" si="208">((C150-C151)^2+(D150-D151)^2)^0.5*O152*P152</f>
        <v>1198.4188505495019</v>
      </c>
      <c r="R152" s="182">
        <f t="shared" si="145"/>
        <v>599.20942527475097</v>
      </c>
      <c r="S152" s="182">
        <f t="shared" si="146"/>
        <v>-599.20942527475097</v>
      </c>
      <c r="T152" s="183">
        <f t="shared" si="183"/>
        <v>-134.6989596251799</v>
      </c>
      <c r="U152" s="182">
        <f t="shared" si="184"/>
        <v>531.85994546216102</v>
      </c>
      <c r="V152" s="182">
        <f t="shared" si="148"/>
        <v>-531.85994546216102</v>
      </c>
    </row>
    <row r="153" spans="1:33" x14ac:dyDescent="0.2">
      <c r="A153" s="109"/>
      <c r="B153" s="11"/>
      <c r="C153" s="151">
        <f>C156</f>
        <v>45.72</v>
      </c>
      <c r="D153" s="152">
        <f>(D150+D154)/2</f>
        <v>34.939943964910441</v>
      </c>
      <c r="E153" s="153"/>
      <c r="F153" s="152">
        <f>IF('Cyclops TH'!$I$6="x",C153,0)</f>
        <v>45.72</v>
      </c>
      <c r="G153" s="152">
        <f>IF('Cyclops TH'!$I$6="x",D153,0)</f>
        <v>34.939943964910441</v>
      </c>
      <c r="H153" s="152">
        <f>SUM(C153:C154)/2</f>
        <v>55.644704667173585</v>
      </c>
      <c r="I153" s="152">
        <f>SUM(D153:D154)/2</f>
        <v>38.793764340165538</v>
      </c>
      <c r="J153" s="152">
        <f>IF('Cyclops TH'!$I$5="x",H153,"")</f>
        <v>55.644704667173585</v>
      </c>
      <c r="K153" s="152">
        <f>IF('Cyclops TH'!$I$5="x",I153,"")</f>
        <v>38.793764340165538</v>
      </c>
      <c r="L153" s="153"/>
      <c r="M153" s="152">
        <f>M152</f>
        <v>4.4806866551682134</v>
      </c>
      <c r="N153" s="152">
        <f>N152</f>
        <v>182.14674262403247</v>
      </c>
      <c r="O153" s="152"/>
      <c r="P153" s="152"/>
      <c r="Q153" s="166">
        <f t="shared" ref="Q153:Q154" si="209">Q152</f>
        <v>1198.4188505495019</v>
      </c>
      <c r="R153" s="182">
        <f t="shared" si="145"/>
        <v>599.20942527475097</v>
      </c>
      <c r="S153" s="182">
        <f t="shared" si="146"/>
        <v>-599.20942527475097</v>
      </c>
      <c r="T153" s="183">
        <f t="shared" si="183"/>
        <v>-134.6989596251799</v>
      </c>
      <c r="U153" s="182">
        <f t="shared" si="184"/>
        <v>531.85994546216102</v>
      </c>
      <c r="V153" s="182">
        <f t="shared" si="148"/>
        <v>-531.85994546216102</v>
      </c>
    </row>
    <row r="154" spans="1:33" x14ac:dyDescent="0.2">
      <c r="A154" s="1">
        <f t="shared" ref="A154" si="210">A157+1</f>
        <v>5</v>
      </c>
      <c r="B154" s="128">
        <f t="shared" ref="B154" si="211">B151+1</f>
        <v>43</v>
      </c>
      <c r="C154" s="155">
        <f>C157</f>
        <v>65.569409334347171</v>
      </c>
      <c r="D154" s="156">
        <f>D157</f>
        <v>42.647584715420635</v>
      </c>
      <c r="E154" s="157"/>
      <c r="F154" s="156">
        <f>IF('Cyclops TH'!$I$6="x",C154,0)</f>
        <v>65.569409334347171</v>
      </c>
      <c r="G154" s="156">
        <f>IF('Cyclops TH'!$I$6="x",D154,0)</f>
        <v>42.647584715420635</v>
      </c>
      <c r="H154" s="173"/>
      <c r="I154" s="174"/>
      <c r="J154" s="156">
        <f>J153</f>
        <v>55.644704667173585</v>
      </c>
      <c r="K154" s="156">
        <f>K153</f>
        <v>38.793764340165538</v>
      </c>
      <c r="L154" s="157"/>
      <c r="M154" s="156">
        <f>M153</f>
        <v>4.4806866551682134</v>
      </c>
      <c r="N154" s="156">
        <f>N153</f>
        <v>182.14674262403247</v>
      </c>
      <c r="O154" s="156"/>
      <c r="P154" s="156"/>
      <c r="Q154" s="167">
        <f t="shared" si="209"/>
        <v>1198.4188505495019</v>
      </c>
      <c r="R154" s="182">
        <f t="shared" si="145"/>
        <v>599.20942527475097</v>
      </c>
      <c r="S154" s="182">
        <f t="shared" si="146"/>
        <v>-599.20942527475097</v>
      </c>
      <c r="T154" s="183">
        <f t="shared" si="183"/>
        <v>-134.6989596251799</v>
      </c>
      <c r="U154" s="182">
        <f t="shared" si="184"/>
        <v>531.85994546216102</v>
      </c>
      <c r="V154" s="182">
        <f t="shared" si="148"/>
        <v>-531.85994546216102</v>
      </c>
    </row>
    <row r="155" spans="1:33" x14ac:dyDescent="0.2">
      <c r="A155" s="109"/>
      <c r="B155" s="11"/>
      <c r="C155" s="168"/>
      <c r="D155" s="169"/>
      <c r="E155" s="169"/>
      <c r="F155" s="161"/>
      <c r="G155" s="162"/>
      <c r="H155" s="169"/>
      <c r="I155" s="169"/>
      <c r="J155" s="162">
        <f>J154</f>
        <v>55.644704667173585</v>
      </c>
      <c r="K155" s="162">
        <f>K154</f>
        <v>38.793764340165538</v>
      </c>
      <c r="L155" s="169"/>
      <c r="M155" s="162">
        <f>((H153-H150)^2+(I153-I150)^2)^0.5</f>
        <v>5.9100325199218524</v>
      </c>
      <c r="N155" s="162">
        <f>N152+M155</f>
        <v>188.05677514395433</v>
      </c>
      <c r="O155" s="162">
        <f t="shared" ref="O155" si="212">$O$14</f>
        <v>31.750000000000004</v>
      </c>
      <c r="P155" s="162">
        <v>2</v>
      </c>
      <c r="Q155" s="164">
        <f t="shared" ref="Q155" si="213">((C153-C154)^2+(D153-D154)^2)^0.5*O155*P155</f>
        <v>1352.1277587563079</v>
      </c>
      <c r="R155" s="182">
        <f t="shared" si="145"/>
        <v>676.06387937815396</v>
      </c>
      <c r="S155" s="182">
        <f t="shared" si="146"/>
        <v>-676.06387937815396</v>
      </c>
      <c r="T155" s="183">
        <f t="shared" si="183"/>
        <v>-186.53652447356444</v>
      </c>
      <c r="U155" s="182">
        <f t="shared" si="184"/>
        <v>582.79561714137174</v>
      </c>
      <c r="V155" s="182">
        <f t="shared" si="148"/>
        <v>-582.79561714137174</v>
      </c>
    </row>
    <row r="156" spans="1:33" x14ac:dyDescent="0.2">
      <c r="A156" s="109"/>
      <c r="B156" s="11"/>
      <c r="C156" s="151">
        <f>AF157</f>
        <v>45.72</v>
      </c>
      <c r="D156" s="152">
        <f>AG157</f>
        <v>45.128442223628603</v>
      </c>
      <c r="E156" s="153"/>
      <c r="F156" s="152">
        <f>IF('Cyclops TH'!$I$6="x",C156,0)</f>
        <v>45.72</v>
      </c>
      <c r="G156" s="152">
        <f>IF('Cyclops TH'!$I$6="x",D156,0)</f>
        <v>45.128442223628603</v>
      </c>
      <c r="H156" s="152">
        <f>SUM(C156:C157)/2</f>
        <v>55.644704667173585</v>
      </c>
      <c r="I156" s="152">
        <f>SUM(D156:D157)/2</f>
        <v>43.888013469524623</v>
      </c>
      <c r="J156" s="152">
        <f>IF('Cyclops TH'!$I$5="x",H156,"")</f>
        <v>55.644704667173585</v>
      </c>
      <c r="K156" s="152">
        <f>IF('Cyclops TH'!$I$5="x",I156,"")</f>
        <v>43.888013469524623</v>
      </c>
      <c r="L156" s="153"/>
      <c r="M156" s="152">
        <f>M155</f>
        <v>5.9100325199218524</v>
      </c>
      <c r="N156" s="152">
        <f>N155</f>
        <v>188.05677514395433</v>
      </c>
      <c r="O156" s="152"/>
      <c r="P156" s="152"/>
      <c r="Q156" s="166">
        <f t="shared" ref="Q156:Q157" si="214">Q155</f>
        <v>1352.1277587563079</v>
      </c>
      <c r="R156" s="182">
        <f t="shared" si="145"/>
        <v>676.06387937815396</v>
      </c>
      <c r="S156" s="182">
        <f t="shared" si="146"/>
        <v>-676.06387937815396</v>
      </c>
      <c r="T156" s="183">
        <f t="shared" si="183"/>
        <v>-186.53652447356444</v>
      </c>
      <c r="U156" s="182">
        <f t="shared" si="184"/>
        <v>582.79561714137174</v>
      </c>
      <c r="V156" s="182">
        <f t="shared" si="148"/>
        <v>-582.79561714137174</v>
      </c>
      <c r="Y156" s="1" t="str">
        <f>Panels!A117</f>
        <v>Vertical Divider</v>
      </c>
      <c r="Z156" s="177">
        <f>Panels!C117</f>
        <v>45.72</v>
      </c>
      <c r="AA156" s="177">
        <f>Panels!D117</f>
        <v>27.232303214400272</v>
      </c>
      <c r="AB156" s="177">
        <f>Panels!C118</f>
        <v>45.72</v>
      </c>
      <c r="AC156" s="177">
        <f>Panels!D118</f>
        <v>55.88</v>
      </c>
      <c r="AD156" s="219" t="str">
        <f>IF(AB156-Z156&lt;&gt;0,(AC156-AA156)/(AB156-Z156),"vertical")</f>
        <v>vertical</v>
      </c>
      <c r="AE156" s="219">
        <f>IF(AD156&lt;&gt;"vertical",(AC156*Z156-AA156*AB156)/(Z156-AB156),AA156)</f>
        <v>27.232303214400272</v>
      </c>
    </row>
    <row r="157" spans="1:33" x14ac:dyDescent="0.2">
      <c r="A157" s="1">
        <f t="shared" ref="A157" si="215">A160+1</f>
        <v>4</v>
      </c>
      <c r="B157" s="128">
        <f t="shared" ref="B157" si="216">B154+1</f>
        <v>44</v>
      </c>
      <c r="C157" s="155">
        <f>Panels!C94</f>
        <v>65.569409334347171</v>
      </c>
      <c r="D157" s="156">
        <f>Panels!D94</f>
        <v>42.647584715420635</v>
      </c>
      <c r="E157" s="157"/>
      <c r="F157" s="156">
        <f>IF('Cyclops TH'!$I$6="x",C157,0)</f>
        <v>65.569409334347171</v>
      </c>
      <c r="G157" s="156">
        <f>IF('Cyclops TH'!$I$6="x",D157,0)</f>
        <v>42.647584715420635</v>
      </c>
      <c r="H157" s="173"/>
      <c r="I157" s="174"/>
      <c r="J157" s="156">
        <f>J156</f>
        <v>55.644704667173585</v>
      </c>
      <c r="K157" s="156">
        <f>K156</f>
        <v>43.888013469524623</v>
      </c>
      <c r="L157" s="157"/>
      <c r="M157" s="156">
        <f>M156</f>
        <v>5.9100325199218524</v>
      </c>
      <c r="N157" s="156">
        <f>N156</f>
        <v>188.05677514395433</v>
      </c>
      <c r="O157" s="156"/>
      <c r="P157" s="156"/>
      <c r="Q157" s="167">
        <f t="shared" si="214"/>
        <v>1352.1277587563079</v>
      </c>
      <c r="R157" s="182">
        <f t="shared" si="145"/>
        <v>676.06387937815396</v>
      </c>
      <c r="S157" s="182">
        <f t="shared" si="146"/>
        <v>-676.06387937815396</v>
      </c>
      <c r="T157" s="183">
        <f t="shared" si="183"/>
        <v>-186.53652447356444</v>
      </c>
      <c r="U157" s="182">
        <f t="shared" si="184"/>
        <v>582.79561714137174</v>
      </c>
      <c r="V157" s="182">
        <f t="shared" si="148"/>
        <v>-582.79561714137174</v>
      </c>
      <c r="Y157" s="1" t="str">
        <f>Panels!A93</f>
        <v>Panel J</v>
      </c>
      <c r="Z157" s="177">
        <f>C157</f>
        <v>65.569409334347171</v>
      </c>
      <c r="AA157" s="177">
        <f>D157</f>
        <v>42.647584715420635</v>
      </c>
      <c r="AB157" s="177">
        <f>Z157-10*$E$20</f>
        <v>55.646610962457586</v>
      </c>
      <c r="AC157" s="177">
        <f>AA157+10*$E$21</f>
        <v>43.887775213217409</v>
      </c>
      <c r="AD157" s="219">
        <f>(AC157-AA157)/(AB157-Z157)</f>
        <v>-0.12498394619305429</v>
      </c>
      <c r="AE157" s="219">
        <f>(AC157*Z157-AA157*AB157)/(Z157-AB157)</f>
        <v>50.842708243575046</v>
      </c>
      <c r="AF157" s="177">
        <f>IF(AD156&lt;&gt;"vertical",(AE156-AE157)/(AD157-AD156),Z156)</f>
        <v>45.72</v>
      </c>
      <c r="AG157" s="177">
        <f>AF157*AD157+AE157</f>
        <v>45.128442223628603</v>
      </c>
    </row>
    <row r="158" spans="1:33" x14ac:dyDescent="0.2">
      <c r="A158" s="109"/>
      <c r="B158" s="11"/>
      <c r="C158" s="172"/>
      <c r="D158" s="157"/>
      <c r="E158" s="157"/>
      <c r="F158" s="174"/>
      <c r="G158" s="156"/>
      <c r="H158" s="157"/>
      <c r="I158" s="157"/>
      <c r="J158" s="156">
        <f>J157</f>
        <v>55.644704667173585</v>
      </c>
      <c r="K158" s="156">
        <f>K157</f>
        <v>43.888013469524623</v>
      </c>
      <c r="L158" s="157"/>
      <c r="M158" s="156">
        <f>((H156-H153)^2+(I156-I153)^2)^0.5</f>
        <v>5.0942491293590848</v>
      </c>
      <c r="N158" s="156">
        <f>N155+M158</f>
        <v>193.1510242733134</v>
      </c>
      <c r="O158" s="156">
        <f t="shared" ref="O158" si="217">$O$14</f>
        <v>31.750000000000004</v>
      </c>
      <c r="P158" s="156">
        <v>2</v>
      </c>
      <c r="Q158" s="167">
        <f t="shared" ref="Q158" si="218">((C156-C157)^2+(D156-D157)^2)^0.5*O158*P158</f>
        <v>1270.2439830902483</v>
      </c>
      <c r="R158" s="182">
        <f t="shared" si="145"/>
        <v>635.12199154512416</v>
      </c>
      <c r="S158" s="182">
        <f t="shared" si="146"/>
        <v>-635.12199154512416</v>
      </c>
      <c r="T158" s="183">
        <f t="shared" si="183"/>
        <v>-16.843079324139808</v>
      </c>
      <c r="U158" s="182">
        <f t="shared" si="184"/>
        <v>626.70045188305426</v>
      </c>
      <c r="V158" s="182">
        <f t="shared" si="148"/>
        <v>-626.70045188305426</v>
      </c>
    </row>
    <row r="159" spans="1:33" x14ac:dyDescent="0.2">
      <c r="A159" s="109"/>
      <c r="B159" s="11"/>
      <c r="C159" s="151">
        <f>(Panels!C93+Panels!C94)/2</f>
        <v>67.309023871144461</v>
      </c>
      <c r="D159" s="152">
        <f>(Panels!D93+Panels!D94)/2</f>
        <v>49.498224710517981</v>
      </c>
      <c r="E159" s="153"/>
      <c r="F159" s="152">
        <f>IF('Cyclops TH'!$I$6="x",C159,0)</f>
        <v>67.309023871144461</v>
      </c>
      <c r="G159" s="152">
        <f>IF('Cyclops TH'!$I$6="x",D159,0)</f>
        <v>49.498224710517981</v>
      </c>
      <c r="H159" s="152">
        <f>SUM(C159:C160)/2</f>
        <v>56.51451193557223</v>
      </c>
      <c r="I159" s="152">
        <f>SUM(D159:D160)/2</f>
        <v>50.847365409453822</v>
      </c>
      <c r="J159" s="152">
        <f>IF('Cyclops TH'!$I$5="x",H159,"")</f>
        <v>56.51451193557223</v>
      </c>
      <c r="K159" s="152">
        <f>IF('Cyclops TH'!$I$5="x",I159,"")</f>
        <v>50.847365409453822</v>
      </c>
      <c r="L159" s="153"/>
      <c r="M159" s="152">
        <f>M158</f>
        <v>5.0942491293590848</v>
      </c>
      <c r="N159" s="152">
        <f>N158</f>
        <v>193.1510242733134</v>
      </c>
      <c r="O159" s="152"/>
      <c r="P159" s="152"/>
      <c r="Q159" s="166">
        <f t="shared" ref="Q159:Q160" si="219">Q158</f>
        <v>1270.2439830902483</v>
      </c>
      <c r="R159" s="182">
        <f t="shared" si="145"/>
        <v>635.12199154512416</v>
      </c>
      <c r="S159" s="182">
        <f t="shared" si="146"/>
        <v>-635.12199154512416</v>
      </c>
      <c r="T159" s="183">
        <f t="shared" si="183"/>
        <v>-16.843079324139808</v>
      </c>
      <c r="U159" s="182">
        <f t="shared" si="184"/>
        <v>626.70045188305426</v>
      </c>
      <c r="V159" s="182">
        <f t="shared" si="148"/>
        <v>-626.70045188305426</v>
      </c>
      <c r="Y159" s="1" t="str">
        <f>Panels!A117</f>
        <v>Vertical Divider</v>
      </c>
      <c r="Z159" s="177">
        <f>Panels!C117</f>
        <v>45.72</v>
      </c>
      <c r="AA159" s="177">
        <f>Panels!D117</f>
        <v>27.232303214400272</v>
      </c>
      <c r="AB159" s="177">
        <f>Panels!C118</f>
        <v>45.72</v>
      </c>
      <c r="AC159" s="177">
        <f>Panels!D118</f>
        <v>55.88</v>
      </c>
      <c r="AD159" s="219" t="str">
        <f>IF(AB159-Z159&lt;&gt;0,(AC159-AA159)/(AB159-Z159),"vertical")</f>
        <v>vertical</v>
      </c>
      <c r="AE159" s="219">
        <f>IF(AD159&lt;&gt;"vertical",(AC159*Z159-AA159*AB159)/(Z159-AB159),AA159)</f>
        <v>27.232303214400272</v>
      </c>
    </row>
    <row r="160" spans="1:33" ht="12" thickBot="1" x14ac:dyDescent="0.25">
      <c r="A160" s="1">
        <f>A163+1</f>
        <v>3</v>
      </c>
      <c r="B160" s="128">
        <f t="shared" ref="B160" si="220">B157+1</f>
        <v>45</v>
      </c>
      <c r="C160" s="155">
        <f>AF160</f>
        <v>45.72</v>
      </c>
      <c r="D160" s="156">
        <f>AG160</f>
        <v>52.196506108389663</v>
      </c>
      <c r="E160" s="180"/>
      <c r="F160" s="156">
        <f>IF('Cyclops TH'!$I$6="x",C160,0)</f>
        <v>45.72</v>
      </c>
      <c r="G160" s="156">
        <f>IF('Cyclops TH'!$I$6="x",D160,0)</f>
        <v>52.196506108389663</v>
      </c>
      <c r="H160" s="173"/>
      <c r="I160" s="174"/>
      <c r="J160" s="156">
        <f>J159</f>
        <v>56.51451193557223</v>
      </c>
      <c r="K160" s="156">
        <f>K159</f>
        <v>50.847365409453822</v>
      </c>
      <c r="L160" s="157"/>
      <c r="M160" s="156">
        <f>M159</f>
        <v>5.0942491293590848</v>
      </c>
      <c r="N160" s="156">
        <f>N159</f>
        <v>193.1510242733134</v>
      </c>
      <c r="O160" s="156"/>
      <c r="P160" s="156"/>
      <c r="Q160" s="167">
        <f t="shared" si="219"/>
        <v>1270.2439830902483</v>
      </c>
      <c r="R160" s="182">
        <f t="shared" si="145"/>
        <v>635.12199154512416</v>
      </c>
      <c r="S160" s="182">
        <f t="shared" si="146"/>
        <v>-635.12199154512416</v>
      </c>
      <c r="T160" s="183">
        <f t="shared" si="183"/>
        <v>-16.843079324139808</v>
      </c>
      <c r="U160" s="182">
        <f t="shared" si="184"/>
        <v>626.70045188305426</v>
      </c>
      <c r="V160" s="182">
        <f t="shared" si="148"/>
        <v>-626.70045188305426</v>
      </c>
      <c r="Y160" s="1" t="str">
        <f>Panels!A93</f>
        <v>Panel J</v>
      </c>
      <c r="Z160" s="177">
        <f>(Z163+AB163)/2</f>
        <v>67.309023871144461</v>
      </c>
      <c r="AA160" s="177">
        <f>(AA163+AC163)/2</f>
        <v>49.498224710517981</v>
      </c>
      <c r="AB160" s="177">
        <f>Z160-10*$E$20</f>
        <v>57.386225499254877</v>
      </c>
      <c r="AC160" s="177">
        <f>AA160+10*$E$21</f>
        <v>50.738415208314755</v>
      </c>
      <c r="AD160" s="219">
        <f>(AC160-AA160)/(AB160-Z160)</f>
        <v>-0.12498394619305429</v>
      </c>
      <c r="AE160" s="219">
        <f>(AC160*Z160-AA160*AB160)/(Z160-AB160)</f>
        <v>57.910772128336106</v>
      </c>
      <c r="AF160" s="177">
        <f>IF(AD159&lt;&gt;"vertical",(AE159-AE160)/(AD160-AD159),Z159)</f>
        <v>45.72</v>
      </c>
      <c r="AG160" s="177">
        <f>AF160*AD160+AE160</f>
        <v>52.196506108389663</v>
      </c>
    </row>
    <row r="161" spans="1:33" ht="12" thickBot="1" x14ac:dyDescent="0.25">
      <c r="A161" s="109"/>
      <c r="B161" s="11"/>
      <c r="C161" s="168"/>
      <c r="D161" s="169"/>
      <c r="E161" s="169"/>
      <c r="F161" s="161"/>
      <c r="G161" s="162"/>
      <c r="H161" s="169"/>
      <c r="I161" s="169"/>
      <c r="J161" s="162">
        <f>J160</f>
        <v>56.51451193557223</v>
      </c>
      <c r="K161" s="162">
        <f>K160</f>
        <v>50.847365409453822</v>
      </c>
      <c r="L161" s="169"/>
      <c r="M161" s="162">
        <f>((H159-H156)^2+(I159-I156)^2)^0.5</f>
        <v>7.0134972808118645</v>
      </c>
      <c r="N161" s="162">
        <f>N158+M161</f>
        <v>200.16452155412526</v>
      </c>
      <c r="O161" s="162">
        <f t="shared" ref="O161" si="221">$O$14</f>
        <v>31.750000000000004</v>
      </c>
      <c r="P161" s="162">
        <v>2</v>
      </c>
      <c r="Q161" s="164">
        <f t="shared" ref="Q161" si="222">((C159-C160)^2+(D159-D160)^2)^0.5*O161*P161</f>
        <v>1381.5689530700545</v>
      </c>
      <c r="R161" s="182">
        <f t="shared" si="145"/>
        <v>690.78447653502724</v>
      </c>
      <c r="S161" s="182">
        <f t="shared" si="146"/>
        <v>-690.78447653502724</v>
      </c>
      <c r="T161" s="187">
        <f t="shared" si="183"/>
        <v>-7.2762627987872293</v>
      </c>
      <c r="U161" s="182">
        <f t="shared" si="184"/>
        <v>687.14634513563362</v>
      </c>
      <c r="V161" s="182">
        <f t="shared" si="148"/>
        <v>-687.14634513563362</v>
      </c>
    </row>
    <row r="162" spans="1:33" x14ac:dyDescent="0.2">
      <c r="A162" s="109"/>
      <c r="B162" s="11"/>
      <c r="C162" s="151">
        <f>Panels!C118</f>
        <v>45.72</v>
      </c>
      <c r="D162" s="152">
        <f>Panels!D40</f>
        <v>55.88</v>
      </c>
      <c r="E162" s="153"/>
      <c r="F162" s="152">
        <f>IF('Cyclops TH'!$I$6="x",C162,0)</f>
        <v>45.72</v>
      </c>
      <c r="G162" s="152">
        <f>IF('Cyclops TH'!$I$6="x",D162,0)</f>
        <v>55.88</v>
      </c>
      <c r="H162" s="152">
        <f>SUM(C162:C163)/2</f>
        <v>56.967808596760086</v>
      </c>
      <c r="I162" s="152">
        <f>SUM(D162:D163)/2</f>
        <v>54.474204495552769</v>
      </c>
      <c r="J162" s="152">
        <f>IF('Cyclops TH'!$I$5="x",H162,"")</f>
        <v>56.967808596760086</v>
      </c>
      <c r="K162" s="152">
        <f>IF('Cyclops TH'!$I$5="x",I162,"")</f>
        <v>54.474204495552769</v>
      </c>
      <c r="L162" s="153"/>
      <c r="M162" s="152">
        <f>M158</f>
        <v>5.0942491293590848</v>
      </c>
      <c r="N162" s="152">
        <f>N161</f>
        <v>200.16452155412526</v>
      </c>
      <c r="O162" s="152"/>
      <c r="P162" s="152"/>
      <c r="Q162" s="166">
        <f t="shared" ref="Q162:Q166" si="223">Q161</f>
        <v>1381.5689530700545</v>
      </c>
      <c r="R162" s="182">
        <f t="shared" si="145"/>
        <v>690.78447653502724</v>
      </c>
      <c r="S162" s="182">
        <f t="shared" si="146"/>
        <v>-690.78447653502724</v>
      </c>
      <c r="T162" s="183">
        <f t="shared" ref="T162:T164" si="224">(U162-R162)*2</f>
        <v>-7.2762627987872293</v>
      </c>
      <c r="U162" s="182">
        <f t="shared" ref="U162:U164" si="225">(($D$11-$D$9)*(N162-$E$9)/($E$11-$E$9)+$D$9)/2</f>
        <v>687.14634513563362</v>
      </c>
      <c r="V162" s="182">
        <f t="shared" si="148"/>
        <v>-687.14634513563362</v>
      </c>
      <c r="Y162" s="1" t="str">
        <f>Panels!A117</f>
        <v>Vertical Divider</v>
      </c>
      <c r="Z162" s="177">
        <f>Panels!C118</f>
        <v>45.72</v>
      </c>
      <c r="AA162" s="177">
        <f>Panels!D118</f>
        <v>55.88</v>
      </c>
      <c r="AB162" s="177">
        <f>Z162+10*$E$20</f>
        <v>55.642798371889583</v>
      </c>
      <c r="AC162" s="177">
        <f>AA162-10*$E$21</f>
        <v>54.639809502203228</v>
      </c>
      <c r="AD162" s="219">
        <f>IF(AB162-Z162&lt;&gt;0,(AC162-AA162)/(AB162-Z162),"vertical")</f>
        <v>-0.12498394619305429</v>
      </c>
      <c r="AE162" s="219">
        <f>IF(AD162&lt;&gt;"vertical",(AC162*Z162-AA162*AB162)/(Z162-AB162),AA162)</f>
        <v>61.594266019946438</v>
      </c>
    </row>
    <row r="163" spans="1:33" x14ac:dyDescent="0.2">
      <c r="A163" s="1">
        <f>A166+1</f>
        <v>2</v>
      </c>
      <c r="B163" s="128">
        <f t="shared" ref="B163" si="226">B160+1</f>
        <v>46</v>
      </c>
      <c r="C163" s="155">
        <f>AF163</f>
        <v>68.215617193520174</v>
      </c>
      <c r="D163" s="156">
        <f>AG163</f>
        <v>53.068408991105542</v>
      </c>
      <c r="E163" s="180"/>
      <c r="F163" s="156">
        <f>IF('Cyclops TH'!$I$6="x",C163,0)</f>
        <v>68.215617193520174</v>
      </c>
      <c r="G163" s="156">
        <f>IF('Cyclops TH'!$I$6="x",D163,0)</f>
        <v>53.068408991105542</v>
      </c>
      <c r="H163" s="173"/>
      <c r="I163" s="174"/>
      <c r="J163" s="156">
        <f>J162</f>
        <v>56.967808596760086</v>
      </c>
      <c r="K163" s="156">
        <f>K162</f>
        <v>54.474204495552769</v>
      </c>
      <c r="L163" s="157"/>
      <c r="M163" s="156">
        <f>M162</f>
        <v>5.0942491293590848</v>
      </c>
      <c r="N163" s="156">
        <f>N162</f>
        <v>200.16452155412526</v>
      </c>
      <c r="O163" s="156"/>
      <c r="P163" s="156"/>
      <c r="Q163" s="167">
        <f t="shared" si="223"/>
        <v>1381.5689530700545</v>
      </c>
      <c r="R163" s="182">
        <f t="shared" si="145"/>
        <v>690.78447653502724</v>
      </c>
      <c r="S163" s="182">
        <f t="shared" si="146"/>
        <v>-690.78447653502724</v>
      </c>
      <c r="T163" s="183">
        <f t="shared" si="224"/>
        <v>-7.2762627987872293</v>
      </c>
      <c r="U163" s="182">
        <f t="shared" si="225"/>
        <v>687.14634513563362</v>
      </c>
      <c r="V163" s="182">
        <f t="shared" si="148"/>
        <v>-687.14634513563362</v>
      </c>
      <c r="Y163" s="1" t="str">
        <f>Panels!A93</f>
        <v>Panel J</v>
      </c>
      <c r="Z163" s="177">
        <f>Panels!C93</f>
        <v>69.048638407941738</v>
      </c>
      <c r="AA163" s="177">
        <f>Panels!D93</f>
        <v>56.348864705615327</v>
      </c>
      <c r="AB163" s="177">
        <f>Panels!C94</f>
        <v>65.569409334347171</v>
      </c>
      <c r="AC163" s="177">
        <f>Panels!D94</f>
        <v>42.647584715420635</v>
      </c>
      <c r="AD163" s="219">
        <f>(AC163-AA163)/(AB163-Z163)</f>
        <v>3.938021814711731</v>
      </c>
      <c r="AE163" s="219">
        <f>(AC163*Z163-AA163*AB163)/(Z163-AB163)</f>
        <v>-215.56617962100151</v>
      </c>
      <c r="AF163" s="177">
        <f>IF(AD162&lt;&gt;"vertical",(AE162-AE163)/(AD163-AD162),Z162)</f>
        <v>68.215617193520174</v>
      </c>
      <c r="AG163" s="177">
        <f>AF163*AD163+AE163</f>
        <v>53.068408991105542</v>
      </c>
    </row>
    <row r="164" spans="1:33" x14ac:dyDescent="0.2">
      <c r="A164" s="109"/>
      <c r="B164" s="11"/>
      <c r="C164" s="168"/>
      <c r="D164" s="169"/>
      <c r="E164" s="169"/>
      <c r="F164" s="161"/>
      <c r="G164" s="162"/>
      <c r="H164" s="169"/>
      <c r="I164" s="169"/>
      <c r="J164" s="162">
        <f>J163</f>
        <v>56.967808596760086</v>
      </c>
      <c r="K164" s="162">
        <f>K163</f>
        <v>54.474204495552769</v>
      </c>
      <c r="L164" s="169"/>
      <c r="M164" s="162">
        <f>((H162-H159)^2+(I162-I159)^2)^0.5</f>
        <v>3.6550567190536323</v>
      </c>
      <c r="N164" s="162">
        <f>N161+M164</f>
        <v>203.81957827317888</v>
      </c>
      <c r="O164" s="162">
        <f t="shared" ref="O164" si="227">$O$14</f>
        <v>31.750000000000004</v>
      </c>
      <c r="P164" s="162">
        <v>2</v>
      </c>
      <c r="Q164" s="164">
        <f t="shared" ref="Q164" si="228">((C162-C163)^2+(D162-D163)^2)^0.5*O164*P164</f>
        <v>1439.585526433013</v>
      </c>
      <c r="R164" s="182">
        <f t="shared" si="145"/>
        <v>719.7927632165065</v>
      </c>
      <c r="S164" s="182">
        <f t="shared" si="146"/>
        <v>-719.7927632165065</v>
      </c>
      <c r="T164" s="183">
        <f t="shared" si="224"/>
        <v>-2.2905537265655767</v>
      </c>
      <c r="U164" s="182">
        <f t="shared" si="225"/>
        <v>718.64748635322371</v>
      </c>
      <c r="V164" s="182">
        <f t="shared" si="148"/>
        <v>-718.64748635322371</v>
      </c>
    </row>
    <row r="165" spans="1:33" x14ac:dyDescent="0.2">
      <c r="A165" s="109"/>
      <c r="B165" s="11"/>
      <c r="C165" s="151">
        <f>Z166</f>
        <v>68.632127800730956</v>
      </c>
      <c r="D165" s="152">
        <f>AA166</f>
        <v>54.708636848360435</v>
      </c>
      <c r="E165" s="153"/>
      <c r="F165" s="152">
        <f>IF('Cyclops TH'!$I$6="x",C165,0)</f>
        <v>68.632127800730956</v>
      </c>
      <c r="G165" s="152">
        <f>IF('Cyclops TH'!$I$6="x",D165,0)</f>
        <v>54.708636848360435</v>
      </c>
      <c r="H165" s="152">
        <f>SUM(C165:C166)/2</f>
        <v>57.176063900365477</v>
      </c>
      <c r="I165" s="152">
        <f>SUM(D165:D166)/2</f>
        <v>56.140460922467909</v>
      </c>
      <c r="J165" s="152">
        <f>IF('Cyclops TH'!$I$5="x",H165,"")</f>
        <v>57.176063900365477</v>
      </c>
      <c r="K165" s="152">
        <f>IF('Cyclops TH'!$I$5="x",I165,"")</f>
        <v>56.140460922467909</v>
      </c>
      <c r="L165" s="153"/>
      <c r="M165" s="152">
        <f>M161</f>
        <v>7.0134972808118645</v>
      </c>
      <c r="N165" s="152">
        <f>N164</f>
        <v>203.81957827317888</v>
      </c>
      <c r="O165" s="152"/>
      <c r="P165" s="152"/>
      <c r="Q165" s="166">
        <f t="shared" si="223"/>
        <v>1439.585526433013</v>
      </c>
      <c r="R165" s="182">
        <f t="shared" ref="R165:R167" si="229">Q165/2</f>
        <v>719.7927632165065</v>
      </c>
      <c r="S165" s="182">
        <f t="shared" ref="S165:S167" si="230">-R165</f>
        <v>-719.7927632165065</v>
      </c>
      <c r="T165" s="183">
        <f t="shared" ref="T165:T167" si="231">(U165-R165)*2</f>
        <v>-2.2905537265655767</v>
      </c>
      <c r="U165" s="182">
        <f t="shared" ref="U165:U167" si="232">(($D$11-$D$9)*(N165-$E$9)/($E$11-$E$9)+$D$9)/2</f>
        <v>718.64748635322371</v>
      </c>
      <c r="V165" s="182">
        <f t="shared" ref="V165:V167" si="233">-U165</f>
        <v>-718.64748635322371</v>
      </c>
      <c r="Y165" s="1" t="str">
        <f>Panels!A117</f>
        <v>Vertical Divider</v>
      </c>
      <c r="Z165" s="177">
        <f>Panels!C117</f>
        <v>45.72</v>
      </c>
      <c r="AA165" s="177">
        <f>Panels!D117</f>
        <v>27.232303214400272</v>
      </c>
      <c r="AB165" s="177">
        <f>Panels!C118</f>
        <v>45.72</v>
      </c>
      <c r="AC165" s="177">
        <f>Panels!D118</f>
        <v>55.88</v>
      </c>
      <c r="AD165" s="219" t="str">
        <f>IF(AB165-Z165&lt;&gt;0,(AC165-AA165)/(AB165-Z165),"vertical")</f>
        <v>vertical</v>
      </c>
      <c r="AE165" s="219">
        <f>IF(AD165&lt;&gt;"vertical",(AC165*Z165-AA165*AB165)/(Z165-AB165),AA165)</f>
        <v>27.232303214400272</v>
      </c>
    </row>
    <row r="166" spans="1:33" x14ac:dyDescent="0.2">
      <c r="A166" s="1">
        <v>1</v>
      </c>
      <c r="B166" s="128">
        <f t="shared" ref="B166" si="234">B163+1</f>
        <v>47</v>
      </c>
      <c r="C166" s="155">
        <f>AF166</f>
        <v>45.72</v>
      </c>
      <c r="D166" s="156">
        <f>AG166</f>
        <v>57.572284996575384</v>
      </c>
      <c r="E166" s="180" t="s">
        <v>79</v>
      </c>
      <c r="F166" s="156">
        <f>IF('Cyclops TH'!$I$6="x",C166,0)</f>
        <v>45.72</v>
      </c>
      <c r="G166" s="156">
        <f>IF('Cyclops TH'!$I$6="x",D166,0)</f>
        <v>57.572284996575384</v>
      </c>
      <c r="H166" s="173"/>
      <c r="I166" s="174"/>
      <c r="J166" s="156">
        <f>J165</f>
        <v>57.176063900365477</v>
      </c>
      <c r="K166" s="156">
        <f>K165</f>
        <v>56.140460922467909</v>
      </c>
      <c r="L166" s="157"/>
      <c r="M166" s="156">
        <f>M165</f>
        <v>7.0134972808118645</v>
      </c>
      <c r="N166" s="156">
        <f>N165</f>
        <v>203.81957827317888</v>
      </c>
      <c r="O166" s="156"/>
      <c r="P166" s="156"/>
      <c r="Q166" s="167">
        <f t="shared" si="223"/>
        <v>1439.585526433013</v>
      </c>
      <c r="R166" s="182">
        <f t="shared" si="229"/>
        <v>719.7927632165065</v>
      </c>
      <c r="S166" s="182">
        <f t="shared" si="230"/>
        <v>-719.7927632165065</v>
      </c>
      <c r="T166" s="183">
        <f t="shared" si="231"/>
        <v>-2.2905537265655767</v>
      </c>
      <c r="U166" s="182">
        <f t="shared" si="232"/>
        <v>718.64748635322371</v>
      </c>
      <c r="V166" s="182">
        <f t="shared" si="233"/>
        <v>-718.64748635322371</v>
      </c>
      <c r="Y166" s="1" t="str">
        <f>Panels!A93</f>
        <v>Panel J</v>
      </c>
      <c r="Z166" s="177">
        <f>(Panels!C93+AF163)/2</f>
        <v>68.632127800730956</v>
      </c>
      <c r="AA166" s="177">
        <f>(Panels!D93+AG163)/2</f>
        <v>54.708636848360435</v>
      </c>
      <c r="AB166" s="177">
        <f>Z166-10*$E$20</f>
        <v>58.709329428841372</v>
      </c>
      <c r="AC166" s="177">
        <f>AA166+10*$E$21</f>
        <v>55.948827346157209</v>
      </c>
      <c r="AD166" s="219">
        <f>(AC166-AA166)/(AB166-Z166)</f>
        <v>-0.12498394619305429</v>
      </c>
      <c r="AE166" s="219">
        <f>(AC166*Z166-AA166*AB166)/(Z166-AB166)</f>
        <v>63.286551016521827</v>
      </c>
      <c r="AF166" s="177">
        <f>IF(AD165&lt;&gt;"vertical",(AE165-AE166)/(AD166-AD165),Z165)</f>
        <v>45.72</v>
      </c>
      <c r="AG166" s="177">
        <f>AF166*AD166+AE166</f>
        <v>57.572284996575384</v>
      </c>
    </row>
    <row r="167" spans="1:33" x14ac:dyDescent="0.2">
      <c r="A167" s="109"/>
      <c r="B167" s="11"/>
      <c r="C167" s="168"/>
      <c r="D167" s="169"/>
      <c r="E167" s="169"/>
      <c r="F167" s="161"/>
      <c r="G167" s="162"/>
      <c r="H167" s="169"/>
      <c r="I167" s="169"/>
      <c r="J167" s="162">
        <f>J166</f>
        <v>57.176063900365477</v>
      </c>
      <c r="K167" s="162">
        <f>K166</f>
        <v>56.140460922467909</v>
      </c>
      <c r="L167" s="169"/>
      <c r="M167" s="162">
        <f>((H165-H162)^2+(I165-I162)^2)^0.5</f>
        <v>1.6792202808791299</v>
      </c>
      <c r="N167" s="162">
        <f>N164+M167</f>
        <v>205.498798554058</v>
      </c>
      <c r="O167" s="162">
        <f t="shared" ref="O167" si="235">$O$14</f>
        <v>31.750000000000004</v>
      </c>
      <c r="P167" s="162">
        <v>2</v>
      </c>
      <c r="Q167" s="164">
        <f t="shared" ref="Q167" si="236">((C165-C166)^2+(D165-D166)^2)^0.5*O167*P167</f>
        <v>1466.2397247414367</v>
      </c>
      <c r="R167" s="182">
        <f t="shared" si="229"/>
        <v>733.11986237071835</v>
      </c>
      <c r="S167" s="182">
        <f t="shared" si="230"/>
        <v>-733.11986237071835</v>
      </c>
      <c r="T167" s="183">
        <f t="shared" si="231"/>
        <v>0</v>
      </c>
      <c r="U167" s="182">
        <f t="shared" si="232"/>
        <v>733.11986237071835</v>
      </c>
      <c r="V167" s="182">
        <f t="shared" si="233"/>
        <v>-733.11986237071835</v>
      </c>
    </row>
  </sheetData>
  <sheetProtection sheet="1" objects="1" scenarios="1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Cyclops TH</vt:lpstr>
      <vt:lpstr>Panels</vt:lpstr>
      <vt:lpstr>Path</vt:lpstr>
    </vt:vector>
  </TitlesOfParts>
  <Company>B&amp;G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Steele</dc:creator>
  <cp:lastModifiedBy>Brian.Steele</cp:lastModifiedBy>
  <cp:lastPrinted>2011-11-06T17:54:57Z</cp:lastPrinted>
  <dcterms:created xsi:type="dcterms:W3CDTF">2010-07-12T00:49:36Z</dcterms:created>
  <dcterms:modified xsi:type="dcterms:W3CDTF">2019-02-08T01:44:48Z</dcterms:modified>
</cp:coreProperties>
</file>